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15" yWindow="6675" windowWidth="27900" windowHeight="6735" tabRatio="720" activeTab="1"/>
  </bookViews>
  <sheets>
    <sheet name="Intro - Avertissement" sheetId="7" r:id="rId1"/>
    <sheet name="CM Arkéa - Compte de résultat" sheetId="9" r:id="rId2"/>
    <sheet name="CM Arkéa - Bilan" sheetId="8" r:id="rId3"/>
    <sheet name="CM Arkéa - Capital" sheetId="5" r:id="rId4"/>
  </sheets>
  <externalReferences>
    <externalReference r:id="rId5"/>
    <externalReference r:id="rId6"/>
    <externalReference r:id="rId7"/>
    <externalReference r:id="rId8"/>
  </externalReference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workbook>
</file>

<file path=xl/calcChain.xml><?xml version="1.0" encoding="utf-8"?>
<calcChain xmlns="http://schemas.openxmlformats.org/spreadsheetml/2006/main">
  <c r="S17" i="5" l="1"/>
  <c r="S16" i="5"/>
  <c r="S15" i="5"/>
  <c r="S10" i="5"/>
  <c r="R17" i="5"/>
  <c r="R16" i="5"/>
  <c r="R15" i="5"/>
  <c r="R10" i="5"/>
  <c r="V35" i="8"/>
  <c r="V20" i="8"/>
  <c r="V21" i="8"/>
  <c r="V38" i="8"/>
  <c r="V23" i="8"/>
  <c r="U35" i="8"/>
  <c r="U38" i="8" s="1"/>
  <c r="U25" i="8"/>
  <c r="U21" i="8"/>
  <c r="U20" i="8"/>
  <c r="U23" i="8" s="1"/>
  <c r="S20" i="9"/>
  <c r="U18" i="9"/>
  <c r="U17" i="9"/>
  <c r="U12" i="9"/>
  <c r="U11" i="9"/>
  <c r="U10" i="9"/>
  <c r="U9" i="9"/>
  <c r="U8" i="9"/>
  <c r="U7" i="9"/>
  <c r="Q17" i="5" l="1"/>
  <c r="Q16" i="5"/>
  <c r="Q15" i="5"/>
  <c r="Q10" i="5"/>
  <c r="S36" i="8"/>
  <c r="S35" i="8"/>
  <c r="S37" i="8"/>
  <c r="S30" i="8"/>
  <c r="S29" i="8"/>
  <c r="S28" i="8"/>
  <c r="S34" i="8"/>
  <c r="S33" i="8"/>
  <c r="S32" i="8"/>
  <c r="S31" i="8"/>
  <c r="S27" i="8"/>
  <c r="S22" i="8"/>
  <c r="S21" i="8"/>
  <c r="S20" i="8"/>
  <c r="S16" i="8"/>
  <c r="S19" i="8"/>
  <c r="S17" i="8"/>
  <c r="S15" i="8"/>
  <c r="S14" i="8"/>
  <c r="S12" i="8"/>
  <c r="S11" i="8"/>
  <c r="S10" i="8"/>
  <c r="S9" i="8"/>
  <c r="S38" i="8" l="1"/>
  <c r="S23" i="8"/>
  <c r="Q17" i="9"/>
  <c r="Q18" i="9"/>
  <c r="Q16" i="9"/>
  <c r="Q15" i="9"/>
  <c r="Q14" i="9"/>
  <c r="Q13" i="9"/>
  <c r="Q12" i="9"/>
  <c r="Q11" i="9"/>
  <c r="Q10" i="9"/>
  <c r="Q9" i="9"/>
  <c r="Q8" i="9"/>
  <c r="Q7" i="9"/>
  <c r="Q20" i="9" l="1"/>
  <c r="P10" i="5"/>
  <c r="P17" i="5" l="1"/>
  <c r="P16" i="5"/>
  <c r="P15" i="5"/>
  <c r="R35" i="8"/>
  <c r="R37" i="8"/>
  <c r="R36" i="8"/>
  <c r="R30" i="8"/>
  <c r="R29" i="8"/>
  <c r="R28" i="8"/>
  <c r="R34" i="8"/>
  <c r="R33" i="8"/>
  <c r="R32" i="8"/>
  <c r="R31" i="8"/>
  <c r="R27" i="8"/>
  <c r="R21" i="8"/>
  <c r="R20" i="8"/>
  <c r="R22" i="8"/>
  <c r="R16" i="8"/>
  <c r="R19" i="8"/>
  <c r="R17" i="8"/>
  <c r="R15" i="8"/>
  <c r="R14" i="8"/>
  <c r="R12" i="8"/>
  <c r="R11" i="8"/>
  <c r="R10" i="8"/>
  <c r="R9" i="8"/>
  <c r="R25" i="8"/>
  <c r="R38" i="8" l="1"/>
  <c r="R23" i="8"/>
  <c r="P20" i="9"/>
  <c r="P18" i="9"/>
  <c r="P17" i="9"/>
  <c r="P16" i="9"/>
  <c r="P15" i="9"/>
  <c r="P14" i="9"/>
  <c r="P13" i="9"/>
  <c r="P12" i="9"/>
  <c r="P11" i="9"/>
  <c r="P10" i="9"/>
  <c r="P9" i="9"/>
  <c r="P8" i="9"/>
  <c r="P7" i="9"/>
  <c r="O17" i="5" l="1"/>
  <c r="O16" i="5"/>
  <c r="O10" i="5"/>
  <c r="Q36" i="8" l="1"/>
  <c r="Q37" i="8"/>
  <c r="Q35" i="8"/>
  <c r="Q34" i="8"/>
  <c r="Q33" i="8"/>
  <c r="Q32" i="8"/>
  <c r="Q31" i="8"/>
  <c r="Q30" i="8"/>
  <c r="Q29" i="8"/>
  <c r="Q28" i="8"/>
  <c r="Q27" i="8"/>
  <c r="Q22" i="8"/>
  <c r="Q21" i="8"/>
  <c r="Q20" i="8"/>
  <c r="Q19" i="8"/>
  <c r="Q17" i="8"/>
  <c r="Q16" i="8"/>
  <c r="Q15" i="8"/>
  <c r="Q14" i="8"/>
  <c r="Q12" i="8"/>
  <c r="Q11" i="8"/>
  <c r="Q10" i="8"/>
  <c r="Q9" i="8"/>
  <c r="O18" i="9"/>
  <c r="O17" i="9"/>
  <c r="O16" i="9"/>
  <c r="O15" i="9"/>
  <c r="O14" i="9"/>
  <c r="O13" i="9"/>
  <c r="O12" i="9"/>
  <c r="O11" i="9"/>
  <c r="O10" i="9"/>
  <c r="O9" i="9"/>
  <c r="O8" i="9"/>
  <c r="O7" i="9"/>
  <c r="Q38" i="8" l="1"/>
  <c r="Q23" i="8"/>
  <c r="O20" i="9"/>
  <c r="P38" i="8"/>
  <c r="P23" i="8"/>
  <c r="N8" i="5" l="1"/>
  <c r="N17" i="5" l="1"/>
  <c r="N16" i="5"/>
  <c r="N15" i="5"/>
  <c r="N10" i="9"/>
  <c r="N12" i="9" s="1"/>
  <c r="N17" i="9" s="1"/>
  <c r="N20" i="9"/>
  <c r="O35" i="8" l="1"/>
  <c r="O38" i="8"/>
  <c r="O20" i="8"/>
  <c r="O23" i="8" s="1"/>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<sst xmlns="http://schemas.openxmlformats.org/spreadsheetml/2006/main" count="114" uniqueCount="75">
  <si>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</si>
  <si>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</si>
  <si>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</si>
  <si>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</si>
  <si>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</si>
  <si>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</si>
  <si>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</si>
  <si>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</si>
  <si>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</si>
  <si>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</si>
  <si>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</si>
  <si>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</si>
  <si>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</si>
  <si>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</si>
  <si>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</si>
  <si>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</si>
  <si>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</si>
  <si>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</si>
  <si>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</si>
  <si>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</si>
  <si>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</si>
  <si>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</si>
  <si>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</si>
  <si>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</si>
  <si>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</si>
  <si>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</si>
  <si>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</si>
  <si>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</si>
  <si>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</si>
  <si>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</si>
  <si>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</si>
  <si>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</si>
  <si>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</si>
  <si>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</si>
  <si>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</si>
  <si>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</si>
  <si>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</si>
  <si>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</si>
  <si>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</si>
  <si>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</si>
  <si>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</si>
  <si>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</si>
  <si>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</si>
  <si>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</si>
  <si>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</si>
  <si>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</si>
  <si>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</si>
  <si>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</si>
  <si>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</si>
  <si>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</si>
  <si>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</si>
  <si>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</si>
  <si>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</si>
  <si>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</si>
  <si>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</si>
  <si>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</si>
  <si>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</si>
  <si>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</si>
  <si>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</si>
  <si>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</si>
  <si>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</si>
  <si>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</si>
  <si>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</si>
  <si>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</si>
  <si>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</si>
  <si>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</si>
  <si>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</si>
  <si>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</si>
  <si>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</si>
  <si>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</si>
  <si>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na</t>
  </si>
  <si>
    <t>IFRS 17</t>
  </si>
  <si>
    <t>S1-23</t>
  </si>
  <si>
    <t>23 / 22</t>
  </si>
  <si>
    <t>+ 1,2 pts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</si>
</sst>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2">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
      <left/>
      <right/>
      <top style="thin">
        <color indexed="64"/>
      </top>
      <bottom style="thin">
        <color rgb="FFED1C24"/>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8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7"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 fontId="0" fillId="0" borderId="0" xfId="0" applyNumberFormat="1"/>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167" fontId="0" fillId="0" borderId="0" xfId="0" applyNumberFormat="1" applyAlignment="1">
      <alignment horizontal="center" vertical="center"/>
    </xf>
    <xf numFmtId="338"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167" fontId="0" fillId="0" borderId="0" xfId="0" applyNumberFormat="1" applyFill="1" applyBorder="1" applyAlignment="1">
      <alignment horizontal="center" vertical="center"/>
    </xf>
    <xf numFmtId="167" fontId="0" fillId="0" borderId="0" xfId="0" applyNumberFormat="1"/>
    <xf numFmtId="337" fontId="266" fillId="2" borderId="2" xfId="1" quotePrefix="1" applyNumberFormat="1" applyFont="1" applyFill="1" applyBorder="1" applyAlignment="1">
      <alignment horizontal="center" vertical="center" wrapText="1"/>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10" fontId="0" fillId="0" borderId="0" xfId="0" applyNumberFormat="1"/>
    <xf numFmtId="10" fontId="263" fillId="0" borderId="0" xfId="1" applyNumberFormat="1" applyFont="1" applyAlignment="1">
      <alignment horizontal="center" vertical="center" wrapText="1"/>
    </xf>
    <xf numFmtId="202" fontId="7" fillId="0" borderId="0" xfId="0" applyNumberFormat="1" applyFont="1" applyAlignment="1">
      <alignment vertical="center"/>
    </xf>
    <xf numFmtId="0" fontId="7" fillId="0" borderId="0" xfId="2" applyBorder="1" applyAlignment="1">
      <alignment horizontal="center" vertical="center"/>
    </xf>
    <xf numFmtId="3" fontId="264" fillId="91" borderId="71" xfId="2" applyNumberFormat="1" applyFont="1" applyFill="1" applyBorder="1" applyAlignment="1">
      <alignment horizontal="center" vertical="center" wrapText="1"/>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xmlns=""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xmlns=""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ICM/Brest2/920019/Benchmark%20CMA/2021-12-31/_R&#233;sultats%20CM%20Ark&#233;a%202021_/P&amp;L%203112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ICM/brest/920019/Benchmark%20CMA/2022-06-30/PR%20S1-2022/PR%20S1-2022%20-%20Base%20graphique%20Fr%20-%20A%20actualis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ICM/brest/920019/Benchmark%20CMA/2022-12-31/Pr&#233;sentation%20R&#233;sultats/2022.12_EF%20primaires%20et%20annexes_10.02.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ICM/Brest2/920019/Benchmark%20CMA/2021-12-31/_R&#233;sultats%20CM%20Ark&#233;a%202021_/2021.12_Bilan%20statutai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ésultat"/>
    </sheetNames>
    <sheetDataSet>
      <sheetData sheetId="0">
        <row r="15">
          <cell r="B15">
            <v>2530650</v>
          </cell>
        </row>
        <row r="16">
          <cell r="B16">
            <v>-1550442</v>
          </cell>
        </row>
        <row r="17">
          <cell r="B17">
            <v>-151605</v>
          </cell>
        </row>
        <row r="19">
          <cell r="B19">
            <v>828603</v>
          </cell>
        </row>
        <row r="20">
          <cell r="B20">
            <v>-115789</v>
          </cell>
        </row>
        <row r="21">
          <cell r="B21">
            <v>712814</v>
          </cell>
        </row>
        <row r="22">
          <cell r="B22">
            <v>3425.3950301201398</v>
          </cell>
        </row>
        <row r="23">
          <cell r="B23">
            <v>349</v>
          </cell>
        </row>
        <row r="24">
          <cell r="B24">
            <v>0</v>
          </cell>
        </row>
        <row r="26">
          <cell r="B26">
            <v>-143047</v>
          </cell>
        </row>
        <row r="28">
          <cell r="B28">
            <v>573541.39503012015</v>
          </cell>
        </row>
        <row r="30">
          <cell r="B30">
            <v>573723.35194326728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édits (2)"/>
      <sheetName val="Bilan"/>
      <sheetName val="P&amp;L"/>
      <sheetName val="Redistribution revenus"/>
      <sheetName val="Clients"/>
      <sheetName val="Crédits"/>
      <sheetName val="Epargne"/>
      <sheetName val="Assurance"/>
      <sheetName val="PNBA"/>
      <sheetName val="COEX"/>
      <sheetName val="CdR"/>
      <sheetName val="CdR_secteurs"/>
      <sheetName val="PNBA - RNPG"/>
      <sheetName val="RNPG (Buildings Blocks)"/>
      <sheetName val="RWA"/>
      <sheetName val="Solvabilité_Bridge_Exigence"/>
      <sheetName val="Solvabilité_Bilan"/>
      <sheetName val="Solvabilité_Suravenir"/>
      <sheetName val="Liquidité_GdB_Bilan"/>
      <sheetName val="Liquidité_GdB_Réserves"/>
      <sheetName val="Refi_SdM_Emissions"/>
      <sheetName val="Annexe_Bilan"/>
      <sheetName val="Annexe_P&amp;L"/>
      <sheetName val="Annexe_Infos Sectorielles"/>
    </sheetNames>
    <sheetDataSet>
      <sheetData sheetId="0" refreshError="1"/>
      <sheetData sheetId="1" refreshError="1">
        <row r="1">
          <cell r="A1" t="str">
            <v>Bilan (en milliers d'euros)</v>
          </cell>
        </row>
        <row r="2">
          <cell r="A2" t="str">
            <v>Actif</v>
          </cell>
          <cell r="C2" t="str">
            <v>30.06.2022</v>
          </cell>
        </row>
        <row r="3">
          <cell r="A3" t="str">
            <v>Caisse, banques centrales</v>
          </cell>
          <cell r="B3">
            <v>1</v>
          </cell>
          <cell r="C3">
            <v>13427709</v>
          </cell>
        </row>
        <row r="4">
          <cell r="A4" t="str">
            <v>Actifs financiers à la juste valeur par résultat</v>
          </cell>
          <cell r="B4">
            <v>2</v>
          </cell>
          <cell r="C4">
            <v>1945661</v>
          </cell>
        </row>
        <row r="5">
          <cell r="A5" t="str">
            <v>Instruments dérivés de couverture</v>
          </cell>
          <cell r="B5">
            <v>3</v>
          </cell>
          <cell r="C5">
            <v>3446873</v>
          </cell>
        </row>
        <row r="6">
          <cell r="A6" t="str">
            <v>Actifs financiers à la juste valeur par capitaux propres</v>
          </cell>
          <cell r="B6">
            <v>4</v>
          </cell>
          <cell r="C6">
            <v>9117365</v>
          </cell>
        </row>
        <row r="7">
          <cell r="A7" t="str">
            <v>Titres au coût amorti</v>
          </cell>
          <cell r="B7">
            <v>5</v>
          </cell>
          <cell r="C7">
            <v>591783</v>
          </cell>
        </row>
        <row r="8">
          <cell r="A8" t="str">
            <v>Prêts et créances sur les établissements de crédit et assimilés, au coût amorti</v>
          </cell>
          <cell r="B8">
            <v>1</v>
          </cell>
          <cell r="C8">
            <v>15539880</v>
          </cell>
        </row>
        <row r="9">
          <cell r="A9" t="str">
            <v>Prêts et créances sur la clientèle, au coût amorti</v>
          </cell>
          <cell r="B9">
            <v>6</v>
          </cell>
          <cell r="C9">
            <v>77455860</v>
          </cell>
        </row>
        <row r="10">
          <cell r="A10" t="str">
            <v>Ecart de réévaluation des portefeuilles couverts en taux</v>
          </cell>
          <cell r="B10" t="str">
            <v/>
          </cell>
          <cell r="C10">
            <v>1485848</v>
          </cell>
        </row>
        <row r="11">
          <cell r="A11" t="str">
            <v>Placement des activités d'assurance</v>
          </cell>
          <cell r="B11">
            <v>7</v>
          </cell>
          <cell r="C11">
            <v>55847425</v>
          </cell>
        </row>
        <row r="12">
          <cell r="A12" t="str">
            <v>Actifs d'impôts courants</v>
          </cell>
          <cell r="B12" t="str">
            <v/>
          </cell>
          <cell r="C12">
            <v>146366</v>
          </cell>
        </row>
        <row r="13">
          <cell r="A13" t="str">
            <v>Actifs d'impôts différés</v>
          </cell>
          <cell r="B13" t="str">
            <v/>
          </cell>
          <cell r="C13">
            <v>156979</v>
          </cell>
        </row>
        <row r="14">
          <cell r="A14" t="str">
            <v>Comptes de régularisation et actifs divers</v>
          </cell>
          <cell r="B14" t="str">
            <v/>
          </cell>
          <cell r="C14">
            <v>1290685</v>
          </cell>
        </row>
        <row r="15">
          <cell r="A15" t="str">
            <v>Actifs non courants destinés à être cédés</v>
          </cell>
          <cell r="B15" t="str">
            <v/>
          </cell>
          <cell r="C15">
            <v>242431</v>
          </cell>
        </row>
        <row r="16">
          <cell r="A16" t="str">
            <v>Participation aux bénéfices différée</v>
          </cell>
          <cell r="B16" t="str">
            <v/>
          </cell>
          <cell r="C16">
            <v>0</v>
          </cell>
        </row>
        <row r="17">
          <cell r="A17" t="str">
            <v xml:space="preserve">Participations dans les entreprises mises en équivalence </v>
          </cell>
          <cell r="B17" t="str">
            <v/>
          </cell>
          <cell r="C17">
            <v>207149.40178486501</v>
          </cell>
        </row>
        <row r="18">
          <cell r="A18" t="str">
            <v>Immeubles de placement</v>
          </cell>
          <cell r="B18" t="str">
            <v/>
          </cell>
          <cell r="C18">
            <v>129779</v>
          </cell>
        </row>
        <row r="19">
          <cell r="A19" t="str">
            <v xml:space="preserve">Immobilisations corporelles </v>
          </cell>
          <cell r="B19" t="str">
            <v/>
          </cell>
          <cell r="C19">
            <v>328602</v>
          </cell>
        </row>
        <row r="20">
          <cell r="A20" t="str">
            <v>Immobilisations incorporelles</v>
          </cell>
          <cell r="B20" t="str">
            <v/>
          </cell>
          <cell r="C20">
            <v>518398</v>
          </cell>
        </row>
        <row r="21">
          <cell r="A21" t="str">
            <v>Ecarts d’acquisition </v>
          </cell>
          <cell r="B21">
            <v>8</v>
          </cell>
          <cell r="C21">
            <v>518321</v>
          </cell>
        </row>
        <row r="22">
          <cell r="A22" t="str">
            <v>TOTAL DE L'ACTIF</v>
          </cell>
          <cell r="B22" t="str">
            <v/>
          </cell>
          <cell r="C22">
            <v>182397114</v>
          </cell>
        </row>
        <row r="24">
          <cell r="A24" t="str">
            <v>Passif</v>
          </cell>
          <cell r="C24" t="str">
            <v>30.06.2022</v>
          </cell>
        </row>
        <row r="25">
          <cell r="A25" t="str">
            <v>Banques centrales</v>
          </cell>
          <cell r="B25">
            <v>9</v>
          </cell>
          <cell r="C25">
            <v>0</v>
          </cell>
        </row>
        <row r="26">
          <cell r="A26" t="str">
            <v>Passifs financiers à la juste valeur par résultat</v>
          </cell>
          <cell r="B26">
            <v>10</v>
          </cell>
          <cell r="C26">
            <v>1838037</v>
          </cell>
        </row>
        <row r="27">
          <cell r="A27" t="str">
            <v>Instruments dérivés de couverture</v>
          </cell>
          <cell r="B27">
            <v>3</v>
          </cell>
          <cell r="C27">
            <v>2911806</v>
          </cell>
        </row>
        <row r="28">
          <cell r="A28" t="str">
            <v xml:space="preserve">Dettes représentées par un titre </v>
          </cell>
          <cell r="B28">
            <v>12</v>
          </cell>
          <cell r="C28">
            <v>15776492</v>
          </cell>
        </row>
        <row r="29">
          <cell r="A29" t="str">
            <v>Dettes envers les établissements de crédit et assimilés</v>
          </cell>
          <cell r="B29">
            <v>9</v>
          </cell>
          <cell r="C29">
            <v>14830787</v>
          </cell>
        </row>
        <row r="30">
          <cell r="A30" t="str">
            <v>Dettes envers la clientèle</v>
          </cell>
          <cell r="B30">
            <v>13</v>
          </cell>
          <cell r="C30">
            <v>75591127</v>
          </cell>
        </row>
        <row r="31">
          <cell r="A31" t="str">
            <v>Ecart de réévaluation des portefeuilles couverts en taux</v>
          </cell>
          <cell r="B31" t="str">
            <v/>
          </cell>
          <cell r="C31">
            <v>2991105</v>
          </cell>
        </row>
        <row r="32">
          <cell r="A32" t="str">
            <v>Passifs d’impôts courants</v>
          </cell>
          <cell r="B32" t="str">
            <v/>
          </cell>
          <cell r="C32">
            <v>111613</v>
          </cell>
        </row>
        <row r="33">
          <cell r="A33" t="str">
            <v>Passifs d'impôts différés</v>
          </cell>
          <cell r="B33" t="str">
            <v/>
          </cell>
          <cell r="C33">
            <v>83785</v>
          </cell>
        </row>
        <row r="34">
          <cell r="A34" t="str">
            <v>Comptes de régularisation et passifs divers</v>
          </cell>
          <cell r="B34" t="str">
            <v/>
          </cell>
          <cell r="C34">
            <v>2464862</v>
          </cell>
        </row>
        <row r="35">
          <cell r="A35" t="str">
            <v>Dettes liées aux actifs non courants destinés à être cédés</v>
          </cell>
          <cell r="B35" t="str">
            <v/>
          </cell>
          <cell r="C35">
            <v>1095276</v>
          </cell>
        </row>
        <row r="36">
          <cell r="A36" t="str">
            <v>Passifs relatifs aux activités d'assurance</v>
          </cell>
          <cell r="B36">
            <v>14</v>
          </cell>
          <cell r="C36">
            <v>53673659</v>
          </cell>
        </row>
        <row r="37">
          <cell r="A37" t="str">
            <v>Provisions</v>
          </cell>
          <cell r="B37">
            <v>15</v>
          </cell>
          <cell r="C37">
            <v>270084</v>
          </cell>
        </row>
        <row r="38">
          <cell r="A38" t="str">
            <v>Dettes subordonnées</v>
          </cell>
          <cell r="B38" t="str">
            <v/>
          </cell>
          <cell r="C38">
            <v>2258513</v>
          </cell>
        </row>
        <row r="39">
          <cell r="A39" t="str">
            <v>Capitaux propres totaux</v>
          </cell>
          <cell r="B39" t="str">
            <v/>
          </cell>
          <cell r="C39">
            <v>8499968.3703659214</v>
          </cell>
        </row>
        <row r="40">
          <cell r="A40" t="str">
            <v xml:space="preserve">  Capitaux propres part du Groupe</v>
          </cell>
          <cell r="B40" t="str">
            <v/>
          </cell>
          <cell r="C40">
            <v>8494082.5150463711</v>
          </cell>
        </row>
        <row r="41">
          <cell r="A41" t="str">
            <v xml:space="preserve">    Capital et réserves liées</v>
          </cell>
          <cell r="B41" t="str">
            <v/>
          </cell>
          <cell r="C41">
            <v>2672443</v>
          </cell>
        </row>
        <row r="42">
          <cell r="A42" t="str">
            <v xml:space="preserve">    Réserves consolidées</v>
          </cell>
          <cell r="B42" t="str">
            <v/>
          </cell>
          <cell r="C42">
            <v>5694984.5346876998</v>
          </cell>
        </row>
        <row r="43">
          <cell r="A43" t="str">
            <v xml:space="preserve">    Gains et pertes comptabilisés directement en capitaux propres</v>
          </cell>
          <cell r="B43" t="str">
            <v/>
          </cell>
          <cell r="C43">
            <v>-233264.53937300199</v>
          </cell>
        </row>
        <row r="44">
          <cell r="A44" t="str">
            <v xml:space="preserve">    Résultat de l'exercice</v>
          </cell>
          <cell r="B44" t="str">
            <v/>
          </cell>
          <cell r="C44">
            <v>359919.51973167399</v>
          </cell>
        </row>
        <row r="45">
          <cell r="A45" t="str">
            <v xml:space="preserve">  Intérêts minoritaires</v>
          </cell>
          <cell r="B45" t="str">
            <v/>
          </cell>
          <cell r="C45">
            <v>5885.8553195500399</v>
          </cell>
        </row>
        <row r="46">
          <cell r="A46" t="str">
            <v>TOTAL DU PASSIF</v>
          </cell>
          <cell r="B46" t="str">
            <v/>
          </cell>
          <cell r="C46">
            <v>182397114</v>
          </cell>
        </row>
        <row r="49">
          <cell r="A49" t="str">
            <v>FP Prudentiels</v>
          </cell>
          <cell r="C49">
            <v>9108</v>
          </cell>
        </row>
      </sheetData>
      <sheetData sheetId="2" refreshError="1">
        <row r="13">
          <cell r="C13">
            <v>1342555</v>
          </cell>
        </row>
        <row r="16">
          <cell r="C16">
            <v>-797582</v>
          </cell>
        </row>
        <row r="17">
          <cell r="C17">
            <v>-73049</v>
          </cell>
        </row>
        <row r="19">
          <cell r="C19">
            <v>471924</v>
          </cell>
        </row>
        <row r="20">
          <cell r="C20">
            <v>-48967</v>
          </cell>
        </row>
        <row r="21">
          <cell r="C21">
            <v>422957</v>
          </cell>
        </row>
        <row r="22">
          <cell r="C22">
            <v>3030.19665999176</v>
          </cell>
        </row>
        <row r="23">
          <cell r="C23">
            <v>9938</v>
          </cell>
        </row>
        <row r="24">
          <cell r="C24">
            <v>0</v>
          </cell>
        </row>
        <row r="26">
          <cell r="C26">
            <v>-76014</v>
          </cell>
        </row>
        <row r="28">
          <cell r="C28">
            <v>359911.19665999175</v>
          </cell>
        </row>
        <row r="30">
          <cell r="C30">
            <v>359919.51973167359</v>
          </cell>
        </row>
        <row r="32">
          <cell r="C32">
            <v>0.64848814387492504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
      <sheetName val="Variables"/>
      <sheetName val="Bilan"/>
      <sheetName val="Résultat"/>
      <sheetName val="Tableau variation CP"/>
      <sheetName val="TFT"/>
      <sheetName val="Note 1 - Prêts et C. sur EC"/>
      <sheetName val="Note 2 - Actifs fi JVR"/>
      <sheetName val="Note 3 - Instr dériv couv"/>
      <sheetName val="Note 4 - Actifs fi JVCP"/>
      <sheetName val="Note 5 - Titres CA"/>
      <sheetName val="Note 6 - Prêts et Cr Cl"/>
      <sheetName val="Note 6a - Actifs impayés"/>
      <sheetName val="Note 6b - Enc res Typ"/>
      <sheetName val="Note 7 - ASS Actif"/>
      <sheetName val="Note 8-9 actifs passif impôts"/>
      <sheetName val="Note 10-20 - Cptes régul"/>
      <sheetName val="Note11 -  Part Entes MEE"/>
      <sheetName val="Note12 -  Imm placement"/>
      <sheetName val="Note13 - Immo copr"/>
      <sheetName val="Note14 - Immo incorp"/>
      <sheetName val="Note15 - Note 8 - EA"/>
      <sheetName val="Note16 - Note 9 - Dettes EC"/>
      <sheetName val="Note17 - 10 -  Passifs fin test"/>
      <sheetName val="Note 17b - 11 - Ac et pass comp"/>
      <sheetName val="Note 18 - 12 - Dettes rep titre"/>
      <sheetName val="Note19 - 13  -dettes Cl"/>
      <sheetName val="Note20.a obligations locatives"/>
      <sheetName val="Note21 - 14 - ASS Pass"/>
      <sheetName val="Note22 - 15 - Provisions"/>
      <sheetName val="Note 22a-b - 15a - EL (M)"/>
      <sheetName val="Note23 - Dettes sub"/>
      <sheetName val="Note24 - Capital et rés liées"/>
      <sheetName val="Note25 - Gains et pertes compt"/>
      <sheetName val="Note 26 - Alyse éch passifs fin"/>
      <sheetName val="Note27 Cession actif"/>
      <sheetName val="Note 28a - 16a - juin note 16a"/>
      <sheetName val="note 28b - 16b - juin note 16b"/>
      <sheetName val="Note 28 c d"/>
      <sheetName val="Note 28 - juin note 17 "/>
      <sheetName val="contrôles"/>
      <sheetName val="Note29 -18 - Int et pro-chg ass"/>
      <sheetName val="Note30 - juin note 19"/>
      <sheetName val="Note31 - juin note 20"/>
      <sheetName val="Note32&amp;33 - juin note 21 et 22"/>
      <sheetName val="Note 34 - 23 jui - Résultat Ass"/>
      <sheetName val="Note 34a - 23a juin"/>
      <sheetName val="Note 34b"/>
      <sheetName val="Note 34c - 23b juin"/>
      <sheetName val="Note 34d  - 23c juin"/>
      <sheetName val="Note35 - juin note 18"/>
      <sheetName val="Note 36Cession-dilution MEE"/>
      <sheetName val="Note 37 - 25 - Chges Gén Exp"/>
      <sheetName val="Note38 - Dot Rep amts dép immos"/>
      <sheetName val="Note39a&amp;b - 26 - coût du risque"/>
      <sheetName val="Note 39c - 26c - juin 20c"/>
      <sheetName val="Note 39d - 26d - juin 20d"/>
      <sheetName val="Note 39e"/>
      <sheetName val="Note 39f"/>
      <sheetName val="Note 39g"/>
      <sheetName val="Note40 - 27 - juin note 21"/>
      <sheetName val="Note41 - 28 - juin note 22"/>
      <sheetName val="Note42a"/>
      <sheetName val="Note42b"/>
      <sheetName val="Note 43a - 29a"/>
      <sheetName val="Note 43 a - 2"/>
      <sheetName val="Note44 (M) - juin note 24"/>
      <sheetName val="Note45 (M)"/>
      <sheetName val="Note 46 (M)"/>
      <sheetName val="Note47 (M) - juin note 25"/>
      <sheetName val="Note48 (M)"/>
      <sheetName val="effectifs"/>
    </sheetNames>
    <sheetDataSet>
      <sheetData sheetId="0" refreshError="1"/>
      <sheetData sheetId="1" refreshError="1"/>
      <sheetData sheetId="2" refreshError="1">
        <row r="1">
          <cell r="A1" t="str">
            <v>LIENS A METTRE A JOUR QUAND LES ONGLETS DE NOTE SERONT FINALISES</v>
          </cell>
        </row>
        <row r="3">
          <cell r="A3" t="str">
            <v>Bilan</v>
          </cell>
        </row>
        <row r="4">
          <cell r="A4" t="str">
            <v>(en milliers d'euros)</v>
          </cell>
        </row>
        <row r="5">
          <cell r="A5">
            <v>0</v>
          </cell>
          <cell r="B5">
            <v>0</v>
          </cell>
          <cell r="C5" t="str">
            <v>31.12.2022</v>
          </cell>
        </row>
        <row r="6">
          <cell r="A6" t="str">
            <v>Actif</v>
          </cell>
          <cell r="B6" t="str">
            <v>Notes</v>
          </cell>
          <cell r="C6">
            <v>0</v>
          </cell>
        </row>
        <row r="7">
          <cell r="A7" t="str">
            <v>Caisse, banques centrales</v>
          </cell>
          <cell r="B7">
            <v>1</v>
          </cell>
          <cell r="C7">
            <v>23453717</v>
          </cell>
        </row>
        <row r="8">
          <cell r="A8" t="str">
            <v>Actifs financiers à la juste valeur par résultat</v>
          </cell>
          <cell r="B8">
            <v>2</v>
          </cell>
          <cell r="C8">
            <v>2175331</v>
          </cell>
        </row>
        <row r="9">
          <cell r="A9" t="str">
            <v>Instruments dérivés de couverture</v>
          </cell>
          <cell r="B9">
            <v>3</v>
          </cell>
          <cell r="C9">
            <v>5365023</v>
          </cell>
        </row>
        <row r="10">
          <cell r="A10" t="str">
            <v>Actifs financiers à la juste valeur par capitaux propres</v>
          </cell>
          <cell r="B10">
            <v>4</v>
          </cell>
          <cell r="C10">
            <v>7322719</v>
          </cell>
        </row>
        <row r="11">
          <cell r="A11" t="str">
            <v>Titres au coût amorti</v>
          </cell>
          <cell r="B11">
            <v>5</v>
          </cell>
          <cell r="C11">
            <v>569489</v>
          </cell>
        </row>
        <row r="12">
          <cell r="A12" t="str">
            <v>Prêts et créances sur les établissements de crédit et assimilés, au coût amorti</v>
          </cell>
          <cell r="B12">
            <v>1</v>
          </cell>
          <cell r="C12">
            <v>12044954</v>
          </cell>
        </row>
        <row r="13">
          <cell r="A13" t="str">
            <v>Prêts et créances sur la clientèle, au coût amorti</v>
          </cell>
          <cell r="B13">
            <v>6</v>
          </cell>
          <cell r="C13">
            <v>81178096</v>
          </cell>
        </row>
        <row r="14">
          <cell r="A14" t="str">
            <v>Ecart de réévaluation des portefeuilles couverts en taux</v>
          </cell>
          <cell r="B14">
            <v>0</v>
          </cell>
          <cell r="C14">
            <v>-4501996</v>
          </cell>
        </row>
        <row r="15">
          <cell r="A15" t="str">
            <v>Placement des activités d'assurance</v>
          </cell>
          <cell r="B15">
            <v>7</v>
          </cell>
          <cell r="C15">
            <v>56731460</v>
          </cell>
        </row>
        <row r="16">
          <cell r="A16" t="str">
            <v>Actifs d'impôts courants</v>
          </cell>
          <cell r="B16">
            <v>8</v>
          </cell>
          <cell r="C16">
            <v>175125</v>
          </cell>
        </row>
        <row r="17">
          <cell r="A17" t="str">
            <v>Actifs d'impôts différés</v>
          </cell>
          <cell r="B17">
            <v>9</v>
          </cell>
          <cell r="C17">
            <v>200763.05129999999</v>
          </cell>
        </row>
        <row r="18">
          <cell r="A18" t="str">
            <v>Comptes de régularisation et actifs divers</v>
          </cell>
          <cell r="B18">
            <v>10</v>
          </cell>
          <cell r="C18">
            <v>1188125</v>
          </cell>
        </row>
        <row r="19">
          <cell r="A19" t="str">
            <v>Actifs non courants destinés à être cédés</v>
          </cell>
          <cell r="B19">
            <v>0</v>
          </cell>
          <cell r="C19">
            <v>0</v>
          </cell>
        </row>
        <row r="20">
          <cell r="A20" t="str">
            <v>Participation aux bénéfices différée</v>
          </cell>
          <cell r="B20" t="str">
            <v>10a</v>
          </cell>
          <cell r="C20">
            <v>1518572</v>
          </cell>
        </row>
        <row r="21">
          <cell r="A21" t="str">
            <v xml:space="preserve">Participations dans les entreprises mises en équivalence </v>
          </cell>
          <cell r="B21">
            <v>11</v>
          </cell>
          <cell r="C21">
            <v>218138.64611419101</v>
          </cell>
        </row>
        <row r="22">
          <cell r="A22" t="str">
            <v>Immeubles de placement</v>
          </cell>
          <cell r="B22">
            <v>12</v>
          </cell>
          <cell r="C22">
            <v>130209</v>
          </cell>
        </row>
        <row r="23">
          <cell r="A23" t="str">
            <v xml:space="preserve">Immobilisations corporelles </v>
          </cell>
          <cell r="B23">
            <v>13</v>
          </cell>
          <cell r="C23">
            <v>338789</v>
          </cell>
        </row>
        <row r="24">
          <cell r="A24" t="str">
            <v>Immobilisations incorporelles</v>
          </cell>
          <cell r="B24">
            <v>14</v>
          </cell>
          <cell r="C24">
            <v>540283</v>
          </cell>
        </row>
        <row r="25">
          <cell r="A25" t="str">
            <v>Ecarts d’acquisition </v>
          </cell>
          <cell r="B25">
            <v>15</v>
          </cell>
          <cell r="C25">
            <v>484610</v>
          </cell>
        </row>
        <row r="26">
          <cell r="A26" t="str">
            <v>TOTAL DE L'ACTIF</v>
          </cell>
          <cell r="B26">
            <v>0</v>
          </cell>
          <cell r="C26">
            <v>189133407.69741401</v>
          </cell>
        </row>
        <row r="27">
          <cell r="A27">
            <v>0</v>
          </cell>
          <cell r="B27">
            <v>0</v>
          </cell>
          <cell r="C27">
            <v>0</v>
          </cell>
        </row>
        <row r="28">
          <cell r="A28">
            <v>0</v>
          </cell>
          <cell r="B28">
            <v>0</v>
          </cell>
          <cell r="C28" t="str">
            <v>31.12.2022</v>
          </cell>
        </row>
        <row r="29">
          <cell r="A29" t="str">
            <v>Passif</v>
          </cell>
          <cell r="B29" t="str">
            <v>Notes</v>
          </cell>
          <cell r="C29">
            <v>0</v>
          </cell>
        </row>
        <row r="30">
          <cell r="A30" t="str">
            <v>Banques centrales</v>
          </cell>
          <cell r="B30">
            <v>16</v>
          </cell>
          <cell r="C30">
            <v>0</v>
          </cell>
        </row>
        <row r="31">
          <cell r="A31" t="str">
            <v>Passifs financiers à la juste valeur par résultat</v>
          </cell>
          <cell r="B31">
            <v>17</v>
          </cell>
          <cell r="C31">
            <v>2049947</v>
          </cell>
        </row>
        <row r="32">
          <cell r="A32" t="str">
            <v>Instruments dérivés de couverture</v>
          </cell>
          <cell r="B32">
            <v>3</v>
          </cell>
          <cell r="C32">
            <v>4525378</v>
          </cell>
        </row>
        <row r="33">
          <cell r="A33" t="str">
            <v xml:space="preserve">Dettes représentées par un titre </v>
          </cell>
          <cell r="B33">
            <v>18</v>
          </cell>
          <cell r="C33">
            <v>19843532</v>
          </cell>
        </row>
        <row r="34">
          <cell r="A34" t="str">
            <v>Dettes envers les établissements de crédit et assimilés</v>
          </cell>
          <cell r="B34">
            <v>16</v>
          </cell>
          <cell r="C34">
            <v>14021591</v>
          </cell>
        </row>
        <row r="35">
          <cell r="A35" t="str">
            <v>Dettes envers la clientèle</v>
          </cell>
          <cell r="B35">
            <v>19</v>
          </cell>
          <cell r="C35">
            <v>81064164</v>
          </cell>
        </row>
        <row r="36">
          <cell r="A36" t="str">
            <v>Ecart de réévaluation des portefeuilles couverts en taux</v>
          </cell>
          <cell r="B36">
            <v>0</v>
          </cell>
          <cell r="C36">
            <v>-2011826</v>
          </cell>
        </row>
        <row r="37">
          <cell r="A37" t="str">
            <v>Passifs d’impôts courants</v>
          </cell>
          <cell r="B37">
            <v>8</v>
          </cell>
          <cell r="C37">
            <v>101465</v>
          </cell>
        </row>
        <row r="38">
          <cell r="A38" t="str">
            <v>Passifs d'impôts différés</v>
          </cell>
          <cell r="B38">
            <v>9</v>
          </cell>
          <cell r="C38">
            <v>84127.613200000007</v>
          </cell>
        </row>
        <row r="39">
          <cell r="A39" t="str">
            <v>Comptes de régularisation et passifs divers</v>
          </cell>
          <cell r="B39">
            <v>20</v>
          </cell>
          <cell r="C39">
            <v>2137849</v>
          </cell>
        </row>
        <row r="40">
          <cell r="A40" t="str">
            <v>Dettes liées aux actifs non courants destinés à être cédés</v>
          </cell>
          <cell r="B40">
            <v>0</v>
          </cell>
          <cell r="C40">
            <v>0</v>
          </cell>
        </row>
        <row r="41">
          <cell r="A41" t="str">
            <v>Passifs relatifs aux activités d'assurance</v>
          </cell>
          <cell r="B41">
            <v>21</v>
          </cell>
          <cell r="C41">
            <v>56109541</v>
          </cell>
        </row>
        <row r="42">
          <cell r="A42" t="str">
            <v>Provisions</v>
          </cell>
          <cell r="B42">
            <v>22</v>
          </cell>
          <cell r="C42">
            <v>299195</v>
          </cell>
        </row>
        <row r="43">
          <cell r="A43" t="str">
            <v>Dettes subordonnées</v>
          </cell>
          <cell r="B43">
            <v>23</v>
          </cell>
          <cell r="C43">
            <v>2182014</v>
          </cell>
        </row>
        <row r="44">
          <cell r="A44" t="str">
            <v>Capitaux propres totaux</v>
          </cell>
          <cell r="B44">
            <v>0</v>
          </cell>
          <cell r="C44">
            <v>8726431.6146952398</v>
          </cell>
        </row>
        <row r="45">
          <cell r="A45" t="str">
            <v xml:space="preserve">  Capitaux propres part du Groupe</v>
          </cell>
          <cell r="B45">
            <v>0</v>
          </cell>
          <cell r="C45">
            <v>8719211.9572983198</v>
          </cell>
        </row>
        <row r="46">
          <cell r="A46" t="str">
            <v xml:space="preserve">    Capital et réserves liées</v>
          </cell>
          <cell r="B46">
            <v>24</v>
          </cell>
          <cell r="C46">
            <v>2725133</v>
          </cell>
        </row>
        <row r="47">
          <cell r="A47" t="str">
            <v xml:space="preserve">    Réserves consolidées</v>
          </cell>
          <cell r="B47">
            <v>24</v>
          </cell>
          <cell r="C47">
            <v>5679635.5803505797</v>
          </cell>
        </row>
        <row r="48">
          <cell r="A48" t="str">
            <v xml:space="preserve">    Gains et pertes comptabilisés directement en capitaux propres</v>
          </cell>
          <cell r="B48">
            <v>25</v>
          </cell>
          <cell r="C48">
            <v>-236268.754911136</v>
          </cell>
        </row>
        <row r="49">
          <cell r="A49" t="str">
            <v xml:space="preserve">    Résultat de l'exercice</v>
          </cell>
          <cell r="B49">
            <v>0</v>
          </cell>
          <cell r="C49">
            <v>550712.13185887097</v>
          </cell>
        </row>
        <row r="50">
          <cell r="A50" t="str">
            <v xml:space="preserve">  Intérêts minoritaires</v>
          </cell>
          <cell r="B50">
            <v>0</v>
          </cell>
          <cell r="C50">
            <v>7219.6573969197898</v>
          </cell>
        </row>
        <row r="51">
          <cell r="A51" t="str">
            <v>TOTAL DU PASSIF</v>
          </cell>
          <cell r="B51">
            <v>0</v>
          </cell>
          <cell r="C51">
            <v>189133409.22789499</v>
          </cell>
        </row>
      </sheetData>
      <sheetData sheetId="3" refreshError="1">
        <row r="17">
          <cell r="C17">
            <v>2569735</v>
          </cell>
        </row>
        <row r="20">
          <cell r="C20">
            <v>-1658063</v>
          </cell>
        </row>
        <row r="21">
          <cell r="C21">
            <v>-155955</v>
          </cell>
        </row>
        <row r="22">
          <cell r="C22">
            <v>755430</v>
          </cell>
        </row>
        <row r="23">
          <cell r="C23">
            <v>-136006</v>
          </cell>
        </row>
        <row r="24">
          <cell r="C24">
            <v>619424</v>
          </cell>
        </row>
        <row r="25">
          <cell r="C25">
            <v>635.49603067297801</v>
          </cell>
        </row>
        <row r="26">
          <cell r="C26">
            <v>87113</v>
          </cell>
        </row>
        <row r="27">
          <cell r="C27">
            <v>-33711</v>
          </cell>
        </row>
        <row r="29">
          <cell r="C29">
            <v>-122053</v>
          </cell>
        </row>
        <row r="31">
          <cell r="C31">
            <v>551408.49603067304</v>
          </cell>
        </row>
        <row r="33">
          <cell r="C33">
            <v>550712.13185887004</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T"/>
    </sheetNames>
    <sheetDataSet>
      <sheetData sheetId="0">
        <row r="3">
          <cell r="B3">
            <v>15835673</v>
          </cell>
        </row>
        <row r="4">
          <cell r="B4">
            <v>1515229</v>
          </cell>
        </row>
        <row r="5">
          <cell r="B5">
            <v>941733</v>
          </cell>
        </row>
        <row r="6">
          <cell r="B6">
            <v>9438286</v>
          </cell>
        </row>
        <row r="7">
          <cell r="B7">
            <v>632290</v>
          </cell>
        </row>
        <row r="8">
          <cell r="B8">
            <v>15207862</v>
          </cell>
        </row>
        <row r="9">
          <cell r="B9">
            <v>73250954</v>
          </cell>
        </row>
        <row r="10">
          <cell r="B10">
            <v>621698</v>
          </cell>
        </row>
        <row r="11">
          <cell r="B11">
            <v>58775760</v>
          </cell>
        </row>
        <row r="12">
          <cell r="B12">
            <v>127398</v>
          </cell>
        </row>
        <row r="13">
          <cell r="B13">
            <v>130806.05130000001</v>
          </cell>
        </row>
        <row r="14">
          <cell r="B14">
            <v>992972</v>
          </cell>
        </row>
        <row r="15">
          <cell r="B15">
            <v>80813</v>
          </cell>
        </row>
        <row r="16">
          <cell r="B16">
            <v>0</v>
          </cell>
        </row>
        <row r="17">
          <cell r="B17">
            <v>176344.832903526</v>
          </cell>
        </row>
        <row r="18">
          <cell r="B18">
            <v>125897</v>
          </cell>
        </row>
        <row r="19">
          <cell r="B19">
            <v>328741</v>
          </cell>
        </row>
        <row r="20">
          <cell r="B20">
            <v>532452</v>
          </cell>
        </row>
        <row r="21">
          <cell r="B21">
            <v>566533</v>
          </cell>
        </row>
        <row r="26">
          <cell r="B26">
            <v>1345024</v>
          </cell>
        </row>
        <row r="27">
          <cell r="B27">
            <v>956291</v>
          </cell>
        </row>
        <row r="28">
          <cell r="B28">
            <v>16438840</v>
          </cell>
        </row>
        <row r="29">
          <cell r="B29">
            <v>14596802</v>
          </cell>
        </row>
        <row r="30">
          <cell r="B30">
            <v>74571114</v>
          </cell>
        </row>
        <row r="31">
          <cell r="B31">
            <v>442028</v>
          </cell>
        </row>
        <row r="32">
          <cell r="B32">
            <v>94463</v>
          </cell>
        </row>
        <row r="33">
          <cell r="B33">
            <v>143168.61319999999</v>
          </cell>
        </row>
        <row r="34">
          <cell r="B34">
            <v>2866796</v>
          </cell>
        </row>
        <row r="35">
          <cell r="B35">
            <v>345128</v>
          </cell>
        </row>
        <row r="36">
          <cell r="B36">
            <v>56168824</v>
          </cell>
        </row>
        <row r="37">
          <cell r="B37">
            <v>426793</v>
          </cell>
        </row>
        <row r="38">
          <cell r="B38">
            <v>2473362</v>
          </cell>
        </row>
        <row r="40">
          <cell r="B40">
            <v>8406883.8140126932</v>
          </cell>
        </row>
        <row r="45">
          <cell r="B45">
            <v>5923.9874718952497</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8" t="s">
        <v>65</v>
      </c>
      <c r="C5" s="169"/>
      <c r="D5" s="169"/>
      <c r="E5" s="169"/>
      <c r="F5" s="169"/>
      <c r="G5" s="169"/>
      <c r="H5" s="169"/>
      <c r="I5" s="169"/>
      <c r="J5" s="169"/>
      <c r="K5" s="169"/>
      <c r="L5" s="169"/>
      <c r="M5" s="170"/>
    </row>
    <row r="6" spans="1:13" ht="19.899999999999999" customHeight="1">
      <c r="B6" s="171"/>
      <c r="C6" s="172"/>
      <c r="D6" s="172"/>
      <c r="E6" s="172"/>
      <c r="F6" s="172"/>
      <c r="G6" s="172"/>
      <c r="H6" s="172"/>
      <c r="I6" s="172"/>
      <c r="J6" s="172"/>
      <c r="K6" s="172"/>
      <c r="L6" s="172"/>
      <c r="M6" s="173"/>
    </row>
    <row r="7" spans="1:13" ht="19.899999999999999" customHeight="1">
      <c r="B7" s="171"/>
      <c r="C7" s="172"/>
      <c r="D7" s="172"/>
      <c r="E7" s="172"/>
      <c r="F7" s="172"/>
      <c r="G7" s="172"/>
      <c r="H7" s="172"/>
      <c r="I7" s="172"/>
      <c r="J7" s="172"/>
      <c r="K7" s="172"/>
      <c r="L7" s="172"/>
      <c r="M7" s="173"/>
    </row>
    <row r="8" spans="1:13" ht="19.899999999999999" customHeight="1">
      <c r="B8" s="171"/>
      <c r="C8" s="172"/>
      <c r="D8" s="172"/>
      <c r="E8" s="172"/>
      <c r="F8" s="172"/>
      <c r="G8" s="172"/>
      <c r="H8" s="172"/>
      <c r="I8" s="172"/>
      <c r="J8" s="172"/>
      <c r="K8" s="172"/>
      <c r="L8" s="172"/>
      <c r="M8" s="173"/>
    </row>
    <row r="9" spans="1:13" ht="19.899999999999999" customHeight="1">
      <c r="B9" s="171"/>
      <c r="C9" s="172"/>
      <c r="D9" s="172"/>
      <c r="E9" s="172"/>
      <c r="F9" s="172"/>
      <c r="G9" s="172"/>
      <c r="H9" s="172"/>
      <c r="I9" s="172"/>
      <c r="J9" s="172"/>
      <c r="K9" s="172"/>
      <c r="L9" s="172"/>
      <c r="M9" s="173"/>
    </row>
    <row r="10" spans="1:13" ht="19.899999999999999" customHeight="1">
      <c r="B10" s="171"/>
      <c r="C10" s="172"/>
      <c r="D10" s="172"/>
      <c r="E10" s="172"/>
      <c r="F10" s="172"/>
      <c r="G10" s="172"/>
      <c r="H10" s="172"/>
      <c r="I10" s="172"/>
      <c r="J10" s="172"/>
      <c r="K10" s="172"/>
      <c r="L10" s="172"/>
      <c r="M10" s="173"/>
    </row>
    <row r="11" spans="1:13" ht="19.899999999999999" customHeight="1">
      <c r="B11" s="171"/>
      <c r="C11" s="172"/>
      <c r="D11" s="172"/>
      <c r="E11" s="172"/>
      <c r="F11" s="172"/>
      <c r="G11" s="172"/>
      <c r="H11" s="172"/>
      <c r="I11" s="172"/>
      <c r="J11" s="172"/>
      <c r="K11" s="172"/>
      <c r="L11" s="172"/>
      <c r="M11" s="173"/>
    </row>
    <row r="12" spans="1:13" ht="19.899999999999999" customHeight="1">
      <c r="B12" s="171"/>
      <c r="C12" s="172"/>
      <c r="D12" s="172"/>
      <c r="E12" s="172"/>
      <c r="F12" s="172"/>
      <c r="G12" s="172"/>
      <c r="H12" s="172"/>
      <c r="I12" s="172"/>
      <c r="J12" s="172"/>
      <c r="K12" s="172"/>
      <c r="L12" s="172"/>
      <c r="M12" s="173"/>
    </row>
    <row r="13" spans="1:13" ht="19.899999999999999" customHeight="1">
      <c r="B13" s="171"/>
      <c r="C13" s="172"/>
      <c r="D13" s="172"/>
      <c r="E13" s="172"/>
      <c r="F13" s="172"/>
      <c r="G13" s="172"/>
      <c r="H13" s="172"/>
      <c r="I13" s="172"/>
      <c r="J13" s="172"/>
      <c r="K13" s="172"/>
      <c r="L13" s="172"/>
      <c r="M13" s="173"/>
    </row>
    <row r="14" spans="1:13" ht="19.899999999999999" customHeight="1">
      <c r="B14" s="171"/>
      <c r="C14" s="172"/>
      <c r="D14" s="172"/>
      <c r="E14" s="172"/>
      <c r="F14" s="172"/>
      <c r="G14" s="172"/>
      <c r="H14" s="172"/>
      <c r="I14" s="172"/>
      <c r="J14" s="172"/>
      <c r="K14" s="172"/>
      <c r="L14" s="172"/>
      <c r="M14" s="173"/>
    </row>
    <row r="15" spans="1:13" ht="19.899999999999999" customHeight="1">
      <c r="B15" s="171"/>
      <c r="C15" s="172"/>
      <c r="D15" s="172"/>
      <c r="E15" s="172"/>
      <c r="F15" s="172"/>
      <c r="G15" s="172"/>
      <c r="H15" s="172"/>
      <c r="I15" s="172"/>
      <c r="J15" s="172"/>
      <c r="K15" s="172"/>
      <c r="L15" s="172"/>
      <c r="M15" s="173"/>
    </row>
    <row r="16" spans="1:13" ht="19.899999999999999" customHeight="1">
      <c r="B16" s="171"/>
      <c r="C16" s="172"/>
      <c r="D16" s="172"/>
      <c r="E16" s="172"/>
      <c r="F16" s="172"/>
      <c r="G16" s="172"/>
      <c r="H16" s="172"/>
      <c r="I16" s="172"/>
      <c r="J16" s="172"/>
      <c r="K16" s="172"/>
      <c r="L16" s="172"/>
      <c r="M16" s="173"/>
    </row>
    <row r="17" spans="2:13" ht="19.899999999999999" customHeight="1">
      <c r="B17" s="171"/>
      <c r="C17" s="172"/>
      <c r="D17" s="172"/>
      <c r="E17" s="172"/>
      <c r="F17" s="172"/>
      <c r="G17" s="172"/>
      <c r="H17" s="172"/>
      <c r="I17" s="172"/>
      <c r="J17" s="172"/>
      <c r="K17" s="172"/>
      <c r="L17" s="172"/>
      <c r="M17" s="173"/>
    </row>
    <row r="18" spans="2:13" ht="19.899999999999999" customHeight="1">
      <c r="B18" s="171"/>
      <c r="C18" s="172"/>
      <c r="D18" s="172"/>
      <c r="E18" s="172"/>
      <c r="F18" s="172"/>
      <c r="G18" s="172"/>
      <c r="H18" s="172"/>
      <c r="I18" s="172"/>
      <c r="J18" s="172"/>
      <c r="K18" s="172"/>
      <c r="L18" s="172"/>
      <c r="M18" s="173"/>
    </row>
    <row r="19" spans="2:13" ht="19.899999999999999" customHeight="1">
      <c r="B19" s="171"/>
      <c r="C19" s="172"/>
      <c r="D19" s="172"/>
      <c r="E19" s="172"/>
      <c r="F19" s="172"/>
      <c r="G19" s="172"/>
      <c r="H19" s="172"/>
      <c r="I19" s="172"/>
      <c r="J19" s="172"/>
      <c r="K19" s="172"/>
      <c r="L19" s="172"/>
      <c r="M19" s="173"/>
    </row>
    <row r="20" spans="2:13" ht="19.899999999999999" customHeight="1" thickBot="1">
      <c r="B20" s="174"/>
      <c r="C20" s="175"/>
      <c r="D20" s="175"/>
      <c r="E20" s="175"/>
      <c r="F20" s="175"/>
      <c r="G20" s="175"/>
      <c r="H20" s="175"/>
      <c r="I20" s="175"/>
      <c r="J20" s="175"/>
      <c r="K20" s="175"/>
      <c r="L20" s="175"/>
      <c r="M20" s="176"/>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2"/>
  <sheetViews>
    <sheetView showGridLines="0" tabSelected="1" zoomScaleNormal="100" workbookViewId="0">
      <selection activeCell="X2" sqref="X2"/>
    </sheetView>
  </sheetViews>
  <sheetFormatPr baseColWidth="10" defaultRowHeight="15"/>
  <cols>
    <col min="1" max="1" width="2.7109375" customWidth="1"/>
    <col min="2" max="2" width="36.85546875" bestFit="1" customWidth="1"/>
    <col min="3" max="19" width="8.7109375" style="87" customWidth="1"/>
    <col min="20" max="20" width="2.7109375" style="152" customWidth="1"/>
    <col min="21" max="21" width="8.140625" customWidth="1"/>
  </cols>
  <sheetData>
    <row r="1" spans="1:22" s="5" customFormat="1" ht="19.899999999999999" customHeight="1">
      <c r="A1" s="1"/>
      <c r="B1" s="1"/>
      <c r="T1" s="151"/>
    </row>
    <row r="2" spans="1:22" s="5" customFormat="1" ht="19.899999999999999" customHeight="1">
      <c r="A2" s="1"/>
      <c r="B2" s="1"/>
      <c r="T2" s="151"/>
    </row>
    <row r="3" spans="1:22" s="5" customFormat="1" ht="19.899999999999999" customHeight="1">
      <c r="A3" s="1"/>
      <c r="B3" s="1"/>
      <c r="R3" s="178" t="s">
        <v>71</v>
      </c>
      <c r="S3" s="178"/>
      <c r="T3" s="151"/>
    </row>
    <row r="4" spans="1:22" ht="35.1" customHeight="1">
      <c r="B4" s="77" t="s">
        <v>32</v>
      </c>
      <c r="R4" s="151"/>
    </row>
    <row r="5" spans="1:22" ht="30" customHeight="1">
      <c r="B5" s="9" t="s">
        <v>20</v>
      </c>
      <c r="C5" s="2">
        <v>2015</v>
      </c>
      <c r="D5" s="2" t="s">
        <v>26</v>
      </c>
      <c r="E5" s="2">
        <v>2016</v>
      </c>
      <c r="F5" s="2" t="s">
        <v>27</v>
      </c>
      <c r="G5" s="2">
        <v>2017</v>
      </c>
      <c r="H5" s="2" t="s">
        <v>28</v>
      </c>
      <c r="I5" s="2">
        <v>2018</v>
      </c>
      <c r="J5" s="2" t="s">
        <v>29</v>
      </c>
      <c r="K5" s="2">
        <v>2019</v>
      </c>
      <c r="L5" s="2" t="s">
        <v>64</v>
      </c>
      <c r="M5" s="2">
        <v>2020</v>
      </c>
      <c r="N5" s="2" t="s">
        <v>66</v>
      </c>
      <c r="O5" s="2">
        <v>2021</v>
      </c>
      <c r="P5" s="2" t="s">
        <v>69</v>
      </c>
      <c r="Q5" s="2">
        <v>2022</v>
      </c>
      <c r="R5" s="2" t="s">
        <v>72</v>
      </c>
      <c r="S5" s="2">
        <v>2023</v>
      </c>
      <c r="T5" s="149"/>
      <c r="U5" s="2" t="s">
        <v>73</v>
      </c>
    </row>
    <row r="6" spans="1:22">
      <c r="B6" s="90"/>
      <c r="C6" s="91"/>
      <c r="D6" s="91"/>
      <c r="E6" s="91"/>
      <c r="F6" s="91"/>
      <c r="G6" s="91"/>
      <c r="H6" s="91"/>
      <c r="I6" s="91"/>
      <c r="J6" s="91"/>
      <c r="K6" s="91"/>
      <c r="L6" s="91"/>
      <c r="M6" s="91"/>
      <c r="N6" s="91"/>
      <c r="O6" s="91"/>
      <c r="P6" s="91"/>
      <c r="Q6" s="91"/>
      <c r="R6" s="91"/>
      <c r="S6" s="166"/>
      <c r="T6" s="153"/>
      <c r="U6" s="91"/>
    </row>
    <row r="7" spans="1:22" ht="24.95" customHeight="1">
      <c r="B7" s="148" t="s">
        <v>63</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17">
        <v>1224.0640000000001</v>
      </c>
      <c r="O7" s="124">
        <f>[1]Résultat!$B$15/1000</f>
        <v>2530.65</v>
      </c>
      <c r="P7" s="117">
        <f>'[2]P&amp;L'!$C$13/1000</f>
        <v>1342.5550000000001</v>
      </c>
      <c r="Q7" s="124">
        <f>[3]Résultat!$C$17/1000</f>
        <v>2569.7350000000001</v>
      </c>
      <c r="R7" s="117">
        <v>1120.048</v>
      </c>
      <c r="S7" s="167">
        <v>2140.2629999999999</v>
      </c>
      <c r="T7" s="150"/>
      <c r="U7" s="160">
        <f>S7/Q7-1</f>
        <v>-0.16712696056208143</v>
      </c>
      <c r="V7" s="128"/>
    </row>
    <row r="8" spans="1:22" ht="24.95"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f>[1]Résultat!$B$16/1000</f>
        <v>-1550.442</v>
      </c>
      <c r="P8" s="118">
        <f>'[2]P&amp;L'!$C$16/1000</f>
        <v>-797.58199999999999</v>
      </c>
      <c r="Q8" s="125">
        <f>[3]Résultat!$C$20/1000</f>
        <v>-1658.0630000000001</v>
      </c>
      <c r="R8" s="118">
        <v>-724.798</v>
      </c>
      <c r="S8" s="125">
        <v>-1412.6279999999999</v>
      </c>
      <c r="T8" s="154"/>
      <c r="U8" s="161">
        <f t="shared" ref="U8:U18" si="0">S8/Q8-1</f>
        <v>-0.14802513535372308</v>
      </c>
      <c r="V8" s="128"/>
    </row>
    <row r="9" spans="1:22" ht="24.95"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f>[1]Résultat!$B$17/1000</f>
        <v>-151.60499999999999</v>
      </c>
      <c r="P9" s="118">
        <f>'[2]P&amp;L'!$C$17/1000</f>
        <v>-73.049000000000007</v>
      </c>
      <c r="Q9" s="125">
        <f>[3]Résultat!$C$21/1000</f>
        <v>-155.95500000000001</v>
      </c>
      <c r="R9" s="118">
        <v>-74.713999999999999</v>
      </c>
      <c r="S9" s="125">
        <v>-124.745</v>
      </c>
      <c r="T9" s="154"/>
      <c r="U9" s="161">
        <f t="shared" si="0"/>
        <v>-0.20012183001506845</v>
      </c>
      <c r="V9" s="128"/>
    </row>
    <row r="10" spans="1:22" ht="24.95"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f>[1]Résultat!$B$19/1000</f>
        <v>828.60299999999995</v>
      </c>
      <c r="P10" s="119">
        <f>'[2]P&amp;L'!$C$19/1000</f>
        <v>471.92399999999998</v>
      </c>
      <c r="Q10" s="121">
        <f>[3]Résultat!$C$22/1000</f>
        <v>755.43</v>
      </c>
      <c r="R10" s="119">
        <v>320.49900000000002</v>
      </c>
      <c r="S10" s="121">
        <v>602.42499999999995</v>
      </c>
      <c r="T10" s="150"/>
      <c r="U10" s="123">
        <f t="shared" si="0"/>
        <v>-0.20254027507512273</v>
      </c>
      <c r="V10" s="128"/>
    </row>
    <row r="11" spans="1:22" ht="24.95"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f>[1]Résultat!$B$20/1000</f>
        <v>-115.789</v>
      </c>
      <c r="P11" s="118">
        <f>'[2]P&amp;L'!$C$20/1000</f>
        <v>-48.966999999999999</v>
      </c>
      <c r="Q11" s="125">
        <f>[3]Résultat!$C$23/1000</f>
        <v>-136.006</v>
      </c>
      <c r="R11" s="118">
        <v>-54.447000000000003</v>
      </c>
      <c r="S11" s="125">
        <v>-94.344999999999999</v>
      </c>
      <c r="T11" s="154"/>
      <c r="U11" s="161">
        <f t="shared" si="0"/>
        <v>-0.30631736835139622</v>
      </c>
      <c r="V11" s="128"/>
    </row>
    <row r="12" spans="1:22" ht="24.95"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f>[1]Résultat!$B$21/1000</f>
        <v>712.81399999999996</v>
      </c>
      <c r="P12" s="119">
        <f>'[2]P&amp;L'!$C$21/1000</f>
        <v>422.95699999999999</v>
      </c>
      <c r="Q12" s="121">
        <f>[3]Résultat!$C$24/1000</f>
        <v>619.42399999999998</v>
      </c>
      <c r="R12" s="119">
        <v>266.05200000000002</v>
      </c>
      <c r="S12" s="121">
        <v>508.08</v>
      </c>
      <c r="T12" s="150"/>
      <c r="U12" s="123">
        <f t="shared" si="0"/>
        <v>-0.17975409412615595</v>
      </c>
      <c r="V12" s="128"/>
    </row>
    <row r="13" spans="1:22" ht="24.95"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f>[1]Résultat!$B$22/1000</f>
        <v>3.4253950301201397</v>
      </c>
      <c r="P13" s="118">
        <f>'[2]P&amp;L'!$C$22/1000</f>
        <v>3.03019665999176</v>
      </c>
      <c r="Q13" s="125">
        <f>[3]Résultat!$C$25/1000</f>
        <v>0.635496030672978</v>
      </c>
      <c r="R13" s="118">
        <v>1.117</v>
      </c>
      <c r="S13" s="125">
        <v>15.358000000000001</v>
      </c>
      <c r="T13" s="154"/>
      <c r="U13" s="161" t="s">
        <v>70</v>
      </c>
      <c r="V13" s="128"/>
    </row>
    <row r="14" spans="1:22" ht="24.95"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f>[1]Résultat!$B$23/1000</f>
        <v>0.34899999999999998</v>
      </c>
      <c r="P14" s="118">
        <f>'[2]P&amp;L'!$C$23/1000</f>
        <v>9.9380000000000006</v>
      </c>
      <c r="Q14" s="125">
        <f>[3]Résultat!$C$26/1000</f>
        <v>87.113</v>
      </c>
      <c r="R14" s="118">
        <v>-0.50600000000000001</v>
      </c>
      <c r="S14" s="125">
        <v>29.797000000000001</v>
      </c>
      <c r="T14" s="154"/>
      <c r="U14" s="164" t="s">
        <v>70</v>
      </c>
      <c r="V14" s="128"/>
    </row>
    <row r="15" spans="1:22" ht="24.95"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f>[1]Résultat!$B$24/1000</f>
        <v>0</v>
      </c>
      <c r="P15" s="118">
        <f>'[2]P&amp;L'!$C$24</f>
        <v>0</v>
      </c>
      <c r="Q15" s="125">
        <f>[3]Résultat!$C$27/1000</f>
        <v>-33.710999999999999</v>
      </c>
      <c r="R15" s="118">
        <v>0</v>
      </c>
      <c r="S15" s="125">
        <v>-10.968999999999999</v>
      </c>
      <c r="T15" s="154"/>
      <c r="U15" s="161" t="s">
        <v>70</v>
      </c>
      <c r="V15" s="128"/>
    </row>
    <row r="16" spans="1:22" ht="24.95"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f>[1]Résultat!$B$26/1000</f>
        <v>-143.047</v>
      </c>
      <c r="P16" s="118">
        <f>'[2]P&amp;L'!$C$26/1000</f>
        <v>-76.013999999999996</v>
      </c>
      <c r="Q16" s="125">
        <f>[3]Résultat!$C$29/1000</f>
        <v>-122.053</v>
      </c>
      <c r="R16" s="118">
        <v>-63.284999999999997</v>
      </c>
      <c r="S16" s="125">
        <v>123.58499999999999</v>
      </c>
      <c r="T16" s="154"/>
      <c r="U16" s="161" t="s">
        <v>70</v>
      </c>
      <c r="V16" s="128"/>
    </row>
    <row r="17" spans="2:24" ht="24.95"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f>[1]Résultat!$B$28/1000</f>
        <v>573.54139503012016</v>
      </c>
      <c r="P17" s="120">
        <f>'[2]P&amp;L'!$C$28/1000</f>
        <v>359.91119665999173</v>
      </c>
      <c r="Q17" s="126">
        <f>[3]Résultat!$C$31/1000</f>
        <v>551.40849603067306</v>
      </c>
      <c r="R17" s="120">
        <v>203.37799999999999</v>
      </c>
      <c r="S17" s="126">
        <v>418.68099999999998</v>
      </c>
      <c r="T17" s="154"/>
      <c r="U17" s="162">
        <f t="shared" si="0"/>
        <v>-0.24070629485420525</v>
      </c>
      <c r="V17" s="128"/>
    </row>
    <row r="18" spans="2:24" ht="24.95"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f>[1]Résultat!$B$30/1000</f>
        <v>573.72335194326729</v>
      </c>
      <c r="P18" s="121">
        <f>'[2]P&amp;L'!$C$30/1000</f>
        <v>359.91951973167357</v>
      </c>
      <c r="Q18" s="121">
        <f>[3]Résultat!$C$33/1000</f>
        <v>550.71213185887007</v>
      </c>
      <c r="R18" s="121">
        <v>202.60400000000001</v>
      </c>
      <c r="S18" s="121">
        <v>416.75</v>
      </c>
      <c r="T18" s="150"/>
      <c r="U18" s="127">
        <f t="shared" si="0"/>
        <v>-0.24325255266611823</v>
      </c>
      <c r="V18" s="128"/>
    </row>
    <row r="19" spans="2:24">
      <c r="B19" s="5"/>
      <c r="C19" s="82"/>
      <c r="D19" s="122"/>
      <c r="E19" s="122"/>
      <c r="F19" s="122"/>
      <c r="G19" s="122"/>
      <c r="H19" s="122"/>
      <c r="I19" s="122"/>
      <c r="J19" s="122"/>
      <c r="K19" s="122"/>
      <c r="L19" s="122"/>
      <c r="M19" s="122"/>
      <c r="N19" s="122"/>
      <c r="O19" s="122"/>
      <c r="P19" s="122"/>
      <c r="Q19" s="122"/>
      <c r="R19" s="122"/>
      <c r="S19" s="122"/>
      <c r="T19" s="155"/>
      <c r="U19" s="82"/>
    </row>
    <row r="20" spans="2:24" ht="24.95"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f>'[2]P&amp;L'!$C$32</f>
        <v>0.64848814387492504</v>
      </c>
      <c r="Q20" s="127">
        <f>-(Q8+Q9)/Q7</f>
        <v>0.70591636880845687</v>
      </c>
      <c r="R20" s="123">
        <v>0.71399999999999997</v>
      </c>
      <c r="S20" s="127">
        <f>-(S8+S9)/S7</f>
        <v>0.71831031980649107</v>
      </c>
      <c r="T20" s="156"/>
      <c r="U20" s="159" t="s">
        <v>74</v>
      </c>
      <c r="V20" s="158"/>
      <c r="W20" s="163"/>
    </row>
    <row r="21" spans="2:24">
      <c r="C21" s="102"/>
      <c r="D21" s="102"/>
      <c r="E21" s="102"/>
      <c r="F21" s="102"/>
      <c r="G21" s="102"/>
      <c r="H21" s="102"/>
      <c r="I21" s="147"/>
      <c r="J21" s="102"/>
      <c r="L21" s="146"/>
      <c r="M21" s="146"/>
      <c r="N21" s="146"/>
      <c r="O21" s="146"/>
      <c r="P21" s="146"/>
      <c r="Q21" s="146"/>
      <c r="R21" s="146"/>
      <c r="S21" s="146"/>
      <c r="T21" s="157"/>
      <c r="X21" s="158"/>
    </row>
    <row r="22" spans="2:24" ht="42.75" customHeight="1">
      <c r="B22" s="177" t="s">
        <v>68</v>
      </c>
      <c r="C22" s="177"/>
      <c r="D22" s="177"/>
      <c r="E22" s="177"/>
      <c r="F22" s="177"/>
      <c r="G22" s="177"/>
      <c r="H22" s="177"/>
      <c r="I22" s="177"/>
      <c r="J22" s="177"/>
      <c r="K22" s="177"/>
      <c r="L22" s="177"/>
      <c r="M22" s="177"/>
      <c r="N22" s="177"/>
      <c r="O22" s="177"/>
      <c r="P22" s="177"/>
      <c r="Q22" s="177"/>
      <c r="R22" s="177"/>
      <c r="S22" s="177"/>
      <c r="T22" s="177"/>
      <c r="U22" s="177"/>
      <c r="V22" s="158"/>
    </row>
  </sheetData>
  <mergeCells count="2">
    <mergeCell ref="B22:U22"/>
    <mergeCell ref="R3:S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2"/>
  <sheetViews>
    <sheetView showGridLines="0" topLeftCell="B4" zoomScaleNormal="100" zoomScaleSheetLayoutView="100" workbookViewId="0">
      <selection activeCell="V26" sqref="V26"/>
    </sheetView>
  </sheetViews>
  <sheetFormatPr baseColWidth="10" defaultColWidth="11.42578125" defaultRowHeight="12.75"/>
  <cols>
    <col min="1" max="1" width="2.7109375" style="35" customWidth="1"/>
    <col min="2" max="2" width="55.140625" style="35" customWidth="1"/>
    <col min="3" max="3" width="12" style="35" customWidth="1"/>
    <col min="4" max="7" width="10.7109375" style="35" customWidth="1"/>
    <col min="8" max="8" width="2.85546875" style="54" customWidth="1"/>
    <col min="9" max="17" width="10.7109375" style="35" customWidth="1"/>
    <col min="18" max="19" width="11.42578125" style="35"/>
    <col min="20" max="20" width="1.85546875" style="35" customWidth="1"/>
    <col min="21" max="16384" width="11.42578125" style="35"/>
  </cols>
  <sheetData>
    <row r="1" spans="1:22" s="5" customFormat="1" ht="19.899999999999999" customHeight="1">
      <c r="A1" s="1"/>
      <c r="B1" s="1"/>
      <c r="H1" s="55"/>
    </row>
    <row r="2" spans="1:22" s="5" customFormat="1" ht="19.899999999999999" customHeight="1">
      <c r="A2" s="1"/>
      <c r="B2" s="1"/>
      <c r="H2" s="55"/>
    </row>
    <row r="3" spans="1:22" s="5" customFormat="1" ht="19.899999999999999" customHeight="1">
      <c r="A3" s="1"/>
      <c r="B3" s="1"/>
      <c r="H3" s="55"/>
    </row>
    <row r="4" spans="1:22" s="5" customFormat="1" ht="34.9" customHeight="1">
      <c r="B4" s="28" t="s">
        <v>45</v>
      </c>
      <c r="H4" s="55"/>
    </row>
    <row r="5" spans="1:22" s="5" customFormat="1" ht="19.899999999999999" customHeight="1">
      <c r="B5" s="28"/>
      <c r="C5" s="178" t="s">
        <v>46</v>
      </c>
      <c r="D5" s="178"/>
      <c r="E5" s="178"/>
      <c r="F5" s="178"/>
      <c r="G5" s="178"/>
      <c r="H5" s="56"/>
      <c r="I5" s="178" t="s">
        <v>47</v>
      </c>
      <c r="J5" s="178"/>
      <c r="K5" s="178"/>
      <c r="L5" s="178"/>
      <c r="M5" s="178"/>
      <c r="N5" s="178"/>
      <c r="O5" s="178"/>
      <c r="P5" s="178"/>
      <c r="Q5" s="178"/>
      <c r="R5" s="178"/>
      <c r="S5" s="178"/>
      <c r="U5" s="178" t="s">
        <v>71</v>
      </c>
      <c r="V5" s="178"/>
    </row>
    <row r="6" spans="1:22" s="30" customFormat="1" ht="10.15" customHeight="1">
      <c r="B6" s="28"/>
      <c r="C6" s="31"/>
      <c r="D6" s="31"/>
      <c r="E6" s="31"/>
      <c r="F6" s="31"/>
      <c r="G6" s="31"/>
      <c r="H6" s="57"/>
    </row>
    <row r="7" spans="1:22"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c r="U7" s="29">
        <v>45078</v>
      </c>
      <c r="V7" s="29">
        <v>45261</v>
      </c>
    </row>
    <row r="8" spans="1:22" s="32" customFormat="1" ht="15" customHeight="1">
      <c r="B8" s="33"/>
      <c r="C8" s="31"/>
      <c r="D8" s="31"/>
      <c r="E8" s="31"/>
      <c r="F8" s="31"/>
      <c r="G8" s="31"/>
      <c r="H8" s="61"/>
      <c r="I8" s="31"/>
      <c r="J8" s="31"/>
      <c r="K8" s="34"/>
      <c r="L8" s="31"/>
      <c r="M8" s="34"/>
      <c r="N8" s="31"/>
      <c r="O8" s="31"/>
      <c r="P8" s="31"/>
      <c r="Q8" s="31"/>
      <c r="R8" s="31"/>
      <c r="S8" s="31"/>
      <c r="U8" s="31"/>
      <c r="V8" s="31"/>
    </row>
    <row r="9" spans="1:22" s="13" customFormat="1" ht="24.95"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f>[4]STAT!$B$3/1000</f>
        <v>15835.673000000001</v>
      </c>
      <c r="R9" s="112">
        <f>VLOOKUP(B9,[2]Bilan!$A:$C,3,0)/1000</f>
        <v>13427.709000000001</v>
      </c>
      <c r="S9" s="132">
        <f>VLOOKUP(B9,[3]Bilan!$A:$C,3,0)/1000</f>
        <v>23453.717000000001</v>
      </c>
      <c r="U9" s="112">
        <v>13887.438</v>
      </c>
      <c r="V9" s="132">
        <v>13579.656000000001</v>
      </c>
    </row>
    <row r="10" spans="1:22" s="13" customFormat="1" ht="24.95"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f>[4]STAT!$B$4/1000</f>
        <v>1515.229</v>
      </c>
      <c r="R10" s="112">
        <f>VLOOKUP(B10,[2]Bilan!$A:$C,3,0)/1000</f>
        <v>1945.6610000000001</v>
      </c>
      <c r="S10" s="132">
        <f>VLOOKUP(B10,[3]Bilan!$A:$C,3,0)/1000</f>
        <v>2175.3310000000001</v>
      </c>
      <c r="U10" s="112">
        <v>2025.846</v>
      </c>
      <c r="V10" s="132">
        <v>1875.7249999999999</v>
      </c>
    </row>
    <row r="11" spans="1:22" s="13" customFormat="1" ht="24.95"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f>[4]STAT!$B$5/1000</f>
        <v>941.73299999999995</v>
      </c>
      <c r="R11" s="113">
        <f>VLOOKUP(B11,[2]Bilan!$A:$C,3,0)/1000</f>
        <v>3446.873</v>
      </c>
      <c r="S11" s="132">
        <f>VLOOKUP(B11,[3]Bilan!$A:$C,3,0)/1000</f>
        <v>5365.0230000000001</v>
      </c>
      <c r="U11" s="113">
        <v>5021.7</v>
      </c>
      <c r="V11" s="132">
        <v>3945.2779999999998</v>
      </c>
    </row>
    <row r="12" spans="1:22" s="13" customFormat="1" ht="24.95"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f>[4]STAT!$B$6/1000</f>
        <v>9438.2860000000001</v>
      </c>
      <c r="R12" s="112">
        <f>VLOOKUP(B12,[2]Bilan!$A:$C,3,0)/1000</f>
        <v>9117.3649999999998</v>
      </c>
      <c r="S12" s="132">
        <f>VLOOKUP(B12,[3]Bilan!$A:$C,3,0)/1000</f>
        <v>7322.7190000000001</v>
      </c>
      <c r="U12" s="112">
        <v>8333.6990000000005</v>
      </c>
      <c r="V12" s="132">
        <v>8928.7929999999997</v>
      </c>
    </row>
    <row r="13" spans="1:22" s="13" customFormat="1" ht="24.95"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c r="U13" s="113">
        <v>0</v>
      </c>
      <c r="V13" s="133" t="s">
        <v>18</v>
      </c>
    </row>
    <row r="14" spans="1:22" s="13" customFormat="1" ht="24.95"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f>[4]STAT!$B$7/1000</f>
        <v>632.29</v>
      </c>
      <c r="R14" s="112">
        <f>VLOOKUP(B14,[2]Bilan!$A:$C,3,0)/1000</f>
        <v>591.78300000000002</v>
      </c>
      <c r="S14" s="132">
        <f>VLOOKUP(B14,[3]Bilan!$A:$C,3,0)/1000</f>
        <v>569.48900000000003</v>
      </c>
      <c r="U14" s="112">
        <v>591.34699999999998</v>
      </c>
      <c r="V14" s="132">
        <v>671.10699999999997</v>
      </c>
    </row>
    <row r="15" spans="1:22" s="13" customFormat="1" ht="24.95"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f>[4]STAT!$B$8/1000</f>
        <v>15207.861999999999</v>
      </c>
      <c r="R15" s="112">
        <f>VLOOKUP(B15,[2]Bilan!$A:$C,3,0)/1000</f>
        <v>15539.88</v>
      </c>
      <c r="S15" s="133">
        <f>VLOOKUP(B15,[3]Bilan!$A:$C,3,0)/1000</f>
        <v>12044.954</v>
      </c>
      <c r="U15" s="112">
        <v>12638.044</v>
      </c>
      <c r="V15" s="133">
        <v>14030.826999999999</v>
      </c>
    </row>
    <row r="16" spans="1:22" s="13" customFormat="1" ht="24.95"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f>[4]STAT!$B$9/1000</f>
        <v>73250.953999999998</v>
      </c>
      <c r="R16" s="72">
        <f>[2]Bilan!$C$9/1000</f>
        <v>77455.86</v>
      </c>
      <c r="S16" s="132">
        <f>[3]Bilan!$C$13/1000</f>
        <v>81178.096000000005</v>
      </c>
      <c r="U16" s="72">
        <v>83953.995999999999</v>
      </c>
      <c r="V16" s="132">
        <v>86908.941000000006</v>
      </c>
    </row>
    <row r="17" spans="2:22" s="13" customFormat="1" ht="24.95"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f>[4]STAT!$B$10/1000</f>
        <v>621.69799999999998</v>
      </c>
      <c r="R17" s="114">
        <f>VLOOKUP(B17,[2]Bilan!$A:$C,3,0)/1000</f>
        <v>1485.848</v>
      </c>
      <c r="S17" s="134">
        <f>VLOOKUP(B17,[3]Bilan!$A:$C,3,0)/1000</f>
        <v>-4501.9960000000001</v>
      </c>
      <c r="U17" s="114">
        <v>-4242.2520000000004</v>
      </c>
      <c r="V17" s="134">
        <v>-2647.1680000000001</v>
      </c>
    </row>
    <row r="18" spans="2:22" s="13" customFormat="1" ht="24.95"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c r="U18" s="112">
        <v>0</v>
      </c>
      <c r="V18" s="132" t="s">
        <v>18</v>
      </c>
    </row>
    <row r="19" spans="2:22" s="13" customFormat="1" ht="24.95"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f>[4]STAT!$B$11/1000</f>
        <v>58775.76</v>
      </c>
      <c r="R19" s="114">
        <f>VLOOKUP(B19,[2]Bilan!$A:$C,3,0)/1000</f>
        <v>55847.425000000003</v>
      </c>
      <c r="S19" s="134">
        <f>VLOOKUP(B19,[3]Bilan!$A:$C,3,0)/1000</f>
        <v>56731.46</v>
      </c>
      <c r="U19" s="114">
        <v>59080.534</v>
      </c>
      <c r="V19" s="134">
        <v>60425.249000000003</v>
      </c>
    </row>
    <row r="20" spans="2:22" s="13" customFormat="1" ht="24.95"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f>SUM([4]STAT!$B$12:$B$17)/1000</f>
        <v>1508.3338842035259</v>
      </c>
      <c r="R20" s="114">
        <f>([2]Bilan!$C$12+[2]Bilan!$C$13+[2]Bilan!$C$14+[2]Bilan!$C$15+[2]Bilan!$C$16+[2]Bilan!$C$17)/1000</f>
        <v>2043.610401784865</v>
      </c>
      <c r="S20" s="134">
        <f>SUM([3]Bilan!$C$16:$C$21)/1000</f>
        <v>3300.7236974141911</v>
      </c>
      <c r="U20" s="114">
        <f>(151248+187642+177274+866235+3430+218871)/1000</f>
        <v>1604.7</v>
      </c>
      <c r="V20" s="134">
        <f>(217.365+206.54+173.674+1488.073+238.886)</f>
        <v>2324.538</v>
      </c>
    </row>
    <row r="21" spans="2:22" s="13" customFormat="1" ht="24.95"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f>SUM([4]STAT!$B$18:$B$20)/1000</f>
        <v>987.09</v>
      </c>
      <c r="R21" s="114">
        <f>([2]Bilan!$C$18+[2]Bilan!$C$19+[2]Bilan!$C$20)/1000</f>
        <v>976.779</v>
      </c>
      <c r="S21" s="134">
        <f>SUM([3]Bilan!$C$22:$C$24)/1000</f>
        <v>1009.2809999999999</v>
      </c>
      <c r="U21" s="114">
        <f>(137905+339482+577168)/1000</f>
        <v>1054.5550000000001</v>
      </c>
      <c r="V21" s="134">
        <f>(145.933+342.235+620.315)</f>
        <v>1108.4830000000002</v>
      </c>
    </row>
    <row r="22" spans="2:22" s="13" customFormat="1" ht="24.95"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f>[4]STAT!$B$21/1000</f>
        <v>566.53300000000002</v>
      </c>
      <c r="R22" s="113">
        <f>[2]Bilan!$C$21/1000</f>
        <v>518.32100000000003</v>
      </c>
      <c r="S22" s="133">
        <f>[3]Bilan!$C$25/1000</f>
        <v>484.61</v>
      </c>
      <c r="U22" s="113">
        <v>484.61</v>
      </c>
      <c r="V22" s="133">
        <v>473.64100000000002</v>
      </c>
    </row>
    <row r="23" spans="2:22" s="13" customFormat="1" ht="24.95"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c r="U23" s="48">
        <f>SUM(U9:U22)</f>
        <v>184434.217</v>
      </c>
      <c r="V23" s="48">
        <f>SUM(V9:V22)</f>
        <v>191625.07</v>
      </c>
    </row>
    <row r="24" spans="2:22" s="38" customFormat="1" ht="19.899999999999999" customHeight="1">
      <c r="B24" s="39"/>
      <c r="C24" s="40"/>
      <c r="D24" s="40"/>
      <c r="E24" s="40"/>
      <c r="F24" s="40"/>
      <c r="G24" s="40"/>
      <c r="H24" s="64"/>
      <c r="I24" s="40"/>
      <c r="J24" s="40"/>
      <c r="K24" s="40"/>
      <c r="L24" s="40"/>
      <c r="M24" s="40"/>
      <c r="O24" s="40"/>
      <c r="Q24" s="40"/>
      <c r="S24" s="40"/>
      <c r="V24" s="40"/>
    </row>
    <row r="25" spans="2:22"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c r="U25" s="29">
        <f>U7</f>
        <v>45078</v>
      </c>
      <c r="V25" s="29">
        <v>45261</v>
      </c>
    </row>
    <row r="26" spans="2:22" s="53" customFormat="1" ht="15" customHeight="1">
      <c r="B26" s="69"/>
      <c r="C26" s="70"/>
      <c r="D26" s="70"/>
      <c r="E26" s="70"/>
      <c r="F26" s="70"/>
      <c r="G26" s="70"/>
      <c r="H26" s="65"/>
      <c r="I26" s="70"/>
      <c r="J26" s="70"/>
      <c r="K26" s="70"/>
      <c r="L26" s="70"/>
      <c r="M26" s="70"/>
      <c r="O26" s="70"/>
      <c r="Q26" s="70"/>
      <c r="S26" s="70"/>
      <c r="V26" s="70"/>
    </row>
    <row r="27" spans="2:22" s="13" customFormat="1" ht="24.95"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f>[4]STAT!$B$26/1000</f>
        <v>1345.0239999999999</v>
      </c>
      <c r="R27" s="112">
        <f>VLOOKUP(B27,[2]Bilan!$A:$C,3,0)/1000</f>
        <v>1838.037</v>
      </c>
      <c r="S27" s="134">
        <f>VLOOKUP(B27,[3]Bilan!$A:$C,3,0)/1000</f>
        <v>2049.9470000000001</v>
      </c>
      <c r="U27" s="112">
        <v>2675.5880000000002</v>
      </c>
      <c r="V27" s="134">
        <v>2737.0459999999998</v>
      </c>
    </row>
    <row r="28" spans="2:22" s="13" customFormat="1" ht="24.95"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f>[4]STAT!$B$27/1000</f>
        <v>956.29100000000005</v>
      </c>
      <c r="R28" s="112">
        <f>([2]Bilan!$C$27/1000)</f>
        <v>2911.806</v>
      </c>
      <c r="S28" s="59">
        <f>[3]Bilan!$C$32/1000</f>
        <v>4525.3779999999997</v>
      </c>
      <c r="U28" s="112">
        <v>4141.6130000000003</v>
      </c>
      <c r="V28" s="59">
        <v>3479.9490000000001</v>
      </c>
    </row>
    <row r="29" spans="2:22" s="13" customFormat="1" ht="24.95"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f>[4]STAT!$B$28/1000</f>
        <v>16438.84</v>
      </c>
      <c r="R29" s="112">
        <f>[2]Bilan!$C$28/1000</f>
        <v>15776.492</v>
      </c>
      <c r="S29" s="75">
        <f>[3]Bilan!$C$33/1000</f>
        <v>19843.531999999999</v>
      </c>
      <c r="U29" s="112">
        <v>23180.880000000001</v>
      </c>
      <c r="V29" s="75">
        <v>24442.681</v>
      </c>
    </row>
    <row r="30" spans="2:22" s="13" customFormat="1" ht="24.95"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f>[4]STAT!$B$29/1000</f>
        <v>14596.802</v>
      </c>
      <c r="R30" s="112">
        <f>[2]Bilan!$C$29/1000</f>
        <v>14830.787</v>
      </c>
      <c r="S30" s="59">
        <f>[3]Bilan!$C$34/1000</f>
        <v>14021.591</v>
      </c>
      <c r="U30" s="112">
        <v>7328.2129999999997</v>
      </c>
      <c r="V30" s="59">
        <v>6747.6270000000004</v>
      </c>
    </row>
    <row r="31" spans="2:22" s="13" customFormat="1" ht="24.95"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f>[4]STAT!$B$30/1000</f>
        <v>74571.114000000001</v>
      </c>
      <c r="R31" s="112">
        <f>VLOOKUP(B31,[2]Bilan!$A:$C,3,0)/1000</f>
        <v>75591.126999999993</v>
      </c>
      <c r="S31" s="60">
        <f>VLOOKUP(B31,[3]Bilan!$A:$C,3,0)/1000</f>
        <v>81064.164000000004</v>
      </c>
      <c r="U31" s="112">
        <v>80952.820999999996</v>
      </c>
      <c r="V31" s="60">
        <v>85080.712</v>
      </c>
    </row>
    <row r="32" spans="2:22" s="13" customFormat="1" ht="24.95"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f>[4]STAT!$B$36/1000</f>
        <v>56168.824000000001</v>
      </c>
      <c r="R32" s="112">
        <f>VLOOKUP(B32,[2]Bilan!$A:$C,3,0)/1000</f>
        <v>53673.659</v>
      </c>
      <c r="S32" s="59">
        <f>VLOOKUP(B32,[3]Bilan!$A:$C,3,0)/1000</f>
        <v>56109.540999999997</v>
      </c>
      <c r="U32" s="112">
        <v>51233.62</v>
      </c>
      <c r="V32" s="59">
        <v>52679.432999999997</v>
      </c>
    </row>
    <row r="33" spans="2:22" s="13" customFormat="1" ht="24.95"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f>[4]STAT!$B$37/1000</f>
        <v>426.79300000000001</v>
      </c>
      <c r="R33" s="112">
        <f>VLOOKUP(B33,[2]Bilan!$A:$C,3,0)/1000</f>
        <v>270.084</v>
      </c>
      <c r="S33" s="59">
        <f>VLOOKUP(B33,[3]Bilan!$A:$C,3,0)/1000</f>
        <v>299.19499999999999</v>
      </c>
      <c r="U33" s="112">
        <v>257.30500000000001</v>
      </c>
      <c r="V33" s="59">
        <v>251.41300000000001</v>
      </c>
    </row>
    <row r="34" spans="2:22" s="13" customFormat="1" ht="24.95"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f>[4]STAT!$B$38/1000</f>
        <v>2473.3620000000001</v>
      </c>
      <c r="R34" s="112">
        <f>VLOOKUP(B34,[2]Bilan!$A:$C,3,0)/1000</f>
        <v>2258.5129999999999</v>
      </c>
      <c r="S34" s="60">
        <f>VLOOKUP(B34,[3]Bilan!$A:$C,3,0)/1000</f>
        <v>2182.0140000000001</v>
      </c>
      <c r="U34" s="112">
        <v>2171.623</v>
      </c>
      <c r="V34" s="60">
        <v>2271.5079999999998</v>
      </c>
    </row>
    <row r="35" spans="2:22" s="13" customFormat="1" ht="24.95"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f>SUM([4]STAT!$B$31:$B$35)/1000</f>
        <v>3891.5836131999999</v>
      </c>
      <c r="R35" s="112">
        <f>SUM([2]Bilan!$C$31:$C$35)/1000</f>
        <v>6746.6409999999996</v>
      </c>
      <c r="S35" s="59">
        <f>SUM([3]Bilan!$C$36:$C$40)/1000</f>
        <v>311.61561320000004</v>
      </c>
      <c r="U35" s="112">
        <f>(-1903895+42826+274622+4532448+4686)/1000</f>
        <v>2950.6869999999999</v>
      </c>
      <c r="V35" s="59">
        <f>(-1269.242+88.212+302.7+5100.189)</f>
        <v>4221.8590000000004</v>
      </c>
    </row>
    <row r="36" spans="2:22" s="13" customFormat="1" ht="24.95"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f>[4]STAT!$B$40/1000</f>
        <v>8406.8838140126936</v>
      </c>
      <c r="R36" s="115">
        <f>([2]Bilan!$C$39-[2]Bilan!$C$45)/1000</f>
        <v>8494.0825150463716</v>
      </c>
      <c r="S36" s="139">
        <f>[3]Bilan!$C$45/1000</f>
        <v>8719.2119572983192</v>
      </c>
      <c r="U36" s="115">
        <v>9533.875</v>
      </c>
      <c r="V36" s="139">
        <v>9703.7430000000004</v>
      </c>
    </row>
    <row r="37" spans="2:22" s="13" customFormat="1" ht="24.95"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f>[4]STAT!$B$45/1000</f>
        <v>5.9239874718952494</v>
      </c>
      <c r="R37" s="112">
        <f>[2]Bilan!$C$45/1000</f>
        <v>5.88585531955004</v>
      </c>
      <c r="S37" s="136">
        <f>[3]Bilan!$C$50/1000</f>
        <v>7.2196573969197901</v>
      </c>
      <c r="U37" s="112">
        <v>7.992</v>
      </c>
      <c r="V37" s="136">
        <v>9.0990000000000002</v>
      </c>
    </row>
    <row r="38" spans="2:22" s="13" customFormat="1" ht="24.95"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c r="U38" s="48">
        <f>SUM(U27:U37)</f>
        <v>184434.21699999998</v>
      </c>
      <c r="V38" s="48">
        <f>SUM(V27:V37)</f>
        <v>191625.06999999998</v>
      </c>
    </row>
    <row r="39" spans="2:22" s="38" customFormat="1" ht="19.899999999999999" customHeight="1">
      <c r="B39" s="100"/>
      <c r="C39" s="101"/>
      <c r="D39" s="101"/>
      <c r="E39" s="101"/>
      <c r="F39" s="101"/>
      <c r="G39" s="101"/>
      <c r="H39" s="64"/>
      <c r="I39" s="101"/>
      <c r="J39" s="101"/>
      <c r="K39" s="101"/>
      <c r="L39" s="101"/>
      <c r="M39" s="101"/>
    </row>
    <row r="40" spans="2:22">
      <c r="H40" s="68"/>
    </row>
    <row r="41" spans="2:22">
      <c r="H41" s="68"/>
      <c r="S41" s="165"/>
    </row>
    <row r="42" spans="2:22">
      <c r="H42" s="68"/>
    </row>
    <row r="43" spans="2:22">
      <c r="H43" s="68"/>
    </row>
    <row r="47" spans="2:22">
      <c r="E47" s="36"/>
    </row>
    <row r="48" spans="2:22">
      <c r="E48" s="36"/>
    </row>
    <row r="49" spans="5:5">
      <c r="E49" s="14"/>
    </row>
    <row r="50" spans="5:5">
      <c r="E50" s="36"/>
    </row>
    <row r="51" spans="5:5">
      <c r="E51" s="36"/>
    </row>
    <row r="52" spans="5:5">
      <c r="E52" s="36"/>
    </row>
  </sheetData>
  <mergeCells count="3">
    <mergeCell ref="C5:G5"/>
    <mergeCell ref="I5:S5"/>
    <mergeCell ref="U5:V5"/>
  </mergeCells>
  <printOptions horizontalCentered="1" verticalCentered="1"/>
  <pageMargins left="0.23622047244094491" right="0.23622047244094491" top="0.35433070866141736" bottom="0.35433070866141736" header="0.31496062992125984" footer="0.31496062992125984"/>
  <pageSetup paperSize="9" scale="61" orientation="landscape" r:id="rId1"/>
  <ignoredErrors>
    <ignoredError sqref="R16"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2"/>
  <sheetViews>
    <sheetView showGridLines="0" zoomScaleNormal="100" workbookViewId="0">
      <selection activeCell="U20" sqref="U20"/>
    </sheetView>
  </sheetViews>
  <sheetFormatPr baseColWidth="10" defaultColWidth="12.5703125" defaultRowHeight="12.75" customHeight="1" zeroHeight="1"/>
  <cols>
    <col min="1" max="1" width="2.7109375" style="5" customWidth="1"/>
    <col min="2" max="2" width="51.140625" style="5" customWidth="1"/>
    <col min="3" max="11" width="8.7109375" style="5" customWidth="1"/>
    <col min="12" max="19" width="8.85546875" style="5" customWidth="1"/>
    <col min="20" max="21" width="11.85546875" style="5" customWidth="1"/>
    <col min="22" max="16384" width="12.5703125" style="5"/>
  </cols>
  <sheetData>
    <row r="1" spans="1:19" ht="19.899999999999999" customHeight="1">
      <c r="A1" s="1"/>
      <c r="B1" s="1"/>
      <c r="C1" s="1"/>
    </row>
    <row r="2" spans="1:19" ht="19.899999999999999" customHeight="1">
      <c r="A2" s="1"/>
      <c r="B2" s="1"/>
      <c r="C2" s="1"/>
    </row>
    <row r="3" spans="1:19" ht="19.899999999999999" customHeight="1">
      <c r="A3" s="1"/>
      <c r="B3" s="1"/>
      <c r="C3" s="1"/>
    </row>
    <row r="4" spans="1:19" ht="35.1" customHeight="1">
      <c r="B4" s="179" t="s">
        <v>44</v>
      </c>
      <c r="C4" s="179"/>
      <c r="D4" s="180"/>
    </row>
    <row r="5" spans="1:19"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c r="R5" s="29">
        <v>45078</v>
      </c>
      <c r="S5" s="29">
        <v>45261</v>
      </c>
    </row>
    <row r="6" spans="1:19" s="30" customFormat="1" ht="15" customHeight="1">
      <c r="A6" s="107"/>
      <c r="B6" s="108"/>
      <c r="C6" s="109"/>
      <c r="D6" s="109"/>
      <c r="E6" s="109"/>
      <c r="F6" s="109"/>
      <c r="G6" s="109"/>
      <c r="H6" s="109"/>
      <c r="I6" s="109"/>
      <c r="J6" s="109"/>
      <c r="K6" s="109"/>
      <c r="L6" s="109"/>
      <c r="M6" s="109"/>
      <c r="N6" s="109"/>
      <c r="O6" s="109"/>
      <c r="P6" s="109"/>
      <c r="Q6" s="109"/>
      <c r="R6" s="109"/>
      <c r="S6" s="109"/>
    </row>
    <row r="7" spans="1:19" ht="24.95" customHeight="1">
      <c r="B7" s="92" t="s">
        <v>43</v>
      </c>
      <c r="C7" s="93"/>
      <c r="D7" s="94"/>
      <c r="E7" s="94"/>
      <c r="F7" s="94"/>
      <c r="G7" s="94"/>
      <c r="H7" s="94"/>
      <c r="I7" s="94"/>
      <c r="J7" s="94"/>
      <c r="K7" s="94"/>
      <c r="L7" s="94"/>
      <c r="M7" s="94"/>
      <c r="N7" s="94"/>
      <c r="O7" s="94"/>
      <c r="P7" s="94"/>
      <c r="Q7" s="94"/>
      <c r="R7" s="94"/>
      <c r="S7" s="94"/>
    </row>
    <row r="8" spans="1:19" ht="24.95"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c r="R8" s="21">
        <v>8342</v>
      </c>
      <c r="S8" s="140">
        <v>8400</v>
      </c>
    </row>
    <row r="9" spans="1:19" ht="24.95"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c r="R9" s="24">
        <v>8342</v>
      </c>
      <c r="S9" s="141">
        <v>8400</v>
      </c>
    </row>
    <row r="10" spans="1:19" ht="24.95"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O11-O8</f>
        <v>1789</v>
      </c>
      <c r="P10" s="24">
        <f>P11-P8</f>
        <v>1706</v>
      </c>
      <c r="Q10" s="141">
        <f>Q11-Q8</f>
        <v>1656</v>
      </c>
      <c r="R10" s="24">
        <f>R11-R8</f>
        <v>1614</v>
      </c>
      <c r="S10" s="141">
        <f>S11-S8</f>
        <v>1566</v>
      </c>
    </row>
    <row r="11" spans="1:19" ht="24.95"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c r="R11" s="24">
        <v>9956</v>
      </c>
      <c r="S11" s="141">
        <v>9966</v>
      </c>
    </row>
    <row r="12" spans="1:19" ht="24.95"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c r="R12" s="99">
        <v>48474</v>
      </c>
      <c r="S12" s="142">
        <v>49736</v>
      </c>
    </row>
    <row r="13" spans="1:19" s="30" customFormat="1" ht="15" customHeight="1">
      <c r="B13" s="88"/>
      <c r="C13" s="89"/>
      <c r="D13" s="110"/>
      <c r="E13" s="89"/>
      <c r="F13" s="111"/>
      <c r="G13" s="89"/>
      <c r="H13" s="89"/>
      <c r="I13" s="89"/>
      <c r="J13" s="89"/>
      <c r="K13" s="89"/>
      <c r="L13" s="89"/>
      <c r="M13" s="89"/>
      <c r="N13" s="89"/>
      <c r="O13" s="89"/>
      <c r="P13" s="89"/>
      <c r="Q13" s="89"/>
      <c r="R13" s="89"/>
      <c r="S13" s="89"/>
    </row>
    <row r="14" spans="1:19" ht="24.95" customHeight="1">
      <c r="B14" s="92" t="s">
        <v>59</v>
      </c>
      <c r="C14" s="95"/>
      <c r="D14" s="96"/>
      <c r="E14" s="97"/>
      <c r="F14" s="96"/>
      <c r="G14" s="97"/>
      <c r="H14" s="96"/>
      <c r="I14" s="97"/>
      <c r="J14" s="97"/>
      <c r="K14" s="97"/>
      <c r="L14" s="97"/>
      <c r="M14" s="97"/>
      <c r="N14" s="97"/>
      <c r="O14" s="97"/>
      <c r="P14" s="97"/>
      <c r="Q14" s="97"/>
      <c r="R14" s="97"/>
      <c r="S14" s="97"/>
    </row>
    <row r="15" spans="1:19" ht="24.95" customHeight="1">
      <c r="B15" s="22" t="s">
        <v>36</v>
      </c>
      <c r="C15" s="143">
        <f t="shared" ref="C15:K15" si="0">C9/C12</f>
        <v>0.15837655953962243</v>
      </c>
      <c r="D15" s="26">
        <f t="shared" si="0"/>
        <v>0.15278697083849968</v>
      </c>
      <c r="E15" s="143">
        <f t="shared" si="0"/>
        <v>0.1528061173613364</v>
      </c>
      <c r="F15" s="26">
        <f t="shared" si="0"/>
        <v>0.16852655074189726</v>
      </c>
      <c r="G15" s="143">
        <f t="shared" si="0"/>
        <v>0.18519791496673069</v>
      </c>
      <c r="H15" s="26">
        <f t="shared" si="0"/>
        <v>0.18348409665631046</v>
      </c>
      <c r="I15" s="143">
        <f t="shared" si="0"/>
        <v>0.17470498000386886</v>
      </c>
      <c r="J15" s="26">
        <f t="shared" si="0"/>
        <v>0.17544168058363366</v>
      </c>
      <c r="K15" s="143">
        <f t="shared" si="0"/>
        <v>0.16387515286861276</v>
      </c>
      <c r="L15" s="26">
        <f>L9/L12</f>
        <v>0.16770445249198865</v>
      </c>
      <c r="M15" s="143">
        <v>0.16800000000000001</v>
      </c>
      <c r="N15" s="26">
        <f>N9/N12</f>
        <v>0.17123768487811963</v>
      </c>
      <c r="O15" s="143">
        <v>0.17</v>
      </c>
      <c r="P15" s="26">
        <f>P9/P12</f>
        <v>0.16462526181586376</v>
      </c>
      <c r="Q15" s="143">
        <f>Q9/Q12</f>
        <v>0.16854865865978225</v>
      </c>
      <c r="R15" s="26">
        <f>R9/R12</f>
        <v>0.17209225564219993</v>
      </c>
      <c r="S15" s="143">
        <f>S9/S12</f>
        <v>0.16889174843171947</v>
      </c>
    </row>
    <row r="16" spans="1:19" ht="24.95" customHeight="1">
      <c r="B16" s="22" t="s">
        <v>37</v>
      </c>
      <c r="C16" s="143">
        <f t="shared" ref="C16:K16" si="1">C8/C12</f>
        <v>0.15837655953962243</v>
      </c>
      <c r="D16" s="26">
        <f t="shared" si="1"/>
        <v>0.15281882800506316</v>
      </c>
      <c r="E16" s="143">
        <f t="shared" si="1"/>
        <v>0.1528061173613364</v>
      </c>
      <c r="F16" s="26">
        <f t="shared" si="1"/>
        <v>0.16894819145776421</v>
      </c>
      <c r="G16" s="143">
        <f t="shared" si="1"/>
        <v>0.18519791496673069</v>
      </c>
      <c r="H16" s="26">
        <f t="shared" si="1"/>
        <v>0.18499398367709585</v>
      </c>
      <c r="I16" s="143">
        <f t="shared" si="1"/>
        <v>0.1761103650771928</v>
      </c>
      <c r="J16" s="26">
        <f t="shared" si="1"/>
        <v>0.1764378424306349</v>
      </c>
      <c r="K16" s="143">
        <f t="shared" si="1"/>
        <v>0.16480565746796405</v>
      </c>
      <c r="L16" s="26">
        <f>L8/L12</f>
        <v>0.16830367610660971</v>
      </c>
      <c r="M16" s="143">
        <v>0.16900000000000001</v>
      </c>
      <c r="N16" s="26">
        <f t="shared" ref="N16:S16" si="2">N8/N12</f>
        <v>0.17150940427489048</v>
      </c>
      <c r="O16" s="143">
        <f t="shared" si="2"/>
        <v>0.16990505374097548</v>
      </c>
      <c r="P16" s="26">
        <f t="shared" si="2"/>
        <v>0.16462526181586376</v>
      </c>
      <c r="Q16" s="143">
        <f t="shared" si="2"/>
        <v>0.16854865865978225</v>
      </c>
      <c r="R16" s="26">
        <f t="shared" si="2"/>
        <v>0.17209225564219993</v>
      </c>
      <c r="S16" s="143">
        <f t="shared" si="2"/>
        <v>0.16889174843171947</v>
      </c>
    </row>
    <row r="17" spans="2:19" ht="24.95" customHeight="1">
      <c r="B17" s="18" t="s">
        <v>38</v>
      </c>
      <c r="C17" s="144">
        <f t="shared" ref="C17:K17" si="3">C11/C12</f>
        <v>0.16107865481860936</v>
      </c>
      <c r="D17" s="27">
        <f t="shared" si="3"/>
        <v>0.16897041145275277</v>
      </c>
      <c r="E17" s="144">
        <f t="shared" si="3"/>
        <v>0.16544019015760361</v>
      </c>
      <c r="F17" s="27">
        <f t="shared" si="3"/>
        <v>0.19599806507568998</v>
      </c>
      <c r="G17" s="144">
        <f t="shared" si="3"/>
        <v>0.21475821684562896</v>
      </c>
      <c r="H17" s="27">
        <f t="shared" si="3"/>
        <v>0.20777358351242312</v>
      </c>
      <c r="I17" s="144">
        <f t="shared" si="3"/>
        <v>0.19759714130934544</v>
      </c>
      <c r="J17" s="27">
        <f t="shared" si="3"/>
        <v>0.22056195247722013</v>
      </c>
      <c r="K17" s="144">
        <f t="shared" si="3"/>
        <v>0.21404264369649598</v>
      </c>
      <c r="L17" s="27">
        <f>L11/L12</f>
        <v>0.21689289529218664</v>
      </c>
      <c r="M17" s="144">
        <v>0.216</v>
      </c>
      <c r="N17" s="27">
        <f t="shared" ref="N17:S17" si="4">N11/N12</f>
        <v>0.21589891312241291</v>
      </c>
      <c r="O17" s="144">
        <f t="shared" si="4"/>
        <v>0.211435336722613</v>
      </c>
      <c r="P17" s="27">
        <f t="shared" si="4"/>
        <v>0.20346507604043348</v>
      </c>
      <c r="Q17" s="144">
        <f t="shared" si="4"/>
        <v>0.20572454820967562</v>
      </c>
      <c r="R17" s="27">
        <f t="shared" si="4"/>
        <v>0.20538845566695549</v>
      </c>
      <c r="S17" s="144">
        <f t="shared" si="4"/>
        <v>0.2003779958179186</v>
      </c>
    </row>
    <row r="18" spans="2:19" s="30" customFormat="1" ht="15" customHeight="1">
      <c r="B18" s="88"/>
      <c r="C18" s="89"/>
      <c r="D18" s="89"/>
      <c r="E18" s="89"/>
      <c r="F18" s="89"/>
      <c r="G18" s="89"/>
      <c r="H18" s="89"/>
      <c r="I18" s="89"/>
      <c r="J18" s="89"/>
      <c r="K18" s="89"/>
      <c r="L18" s="89"/>
      <c r="M18" s="89"/>
      <c r="N18" s="89"/>
      <c r="O18" s="89"/>
      <c r="P18" s="89"/>
      <c r="Q18" s="89"/>
      <c r="R18" s="89"/>
      <c r="S18" s="89"/>
    </row>
    <row r="19" spans="2:19" ht="24.95" customHeight="1">
      <c r="B19" s="92" t="s">
        <v>60</v>
      </c>
      <c r="C19" s="95"/>
      <c r="D19" s="96"/>
      <c r="E19" s="97"/>
      <c r="F19" s="96"/>
      <c r="G19" s="97"/>
      <c r="H19" s="96"/>
      <c r="I19" s="97"/>
      <c r="J19" s="97"/>
      <c r="K19" s="97"/>
      <c r="L19" s="97"/>
      <c r="M19" s="97"/>
      <c r="N19" s="97"/>
      <c r="O19" s="97"/>
      <c r="P19" s="97"/>
      <c r="Q19" s="97"/>
      <c r="R19" s="97"/>
      <c r="S19" s="97"/>
    </row>
    <row r="20" spans="2:19" ht="24.95"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c r="R20" s="26">
        <v>6.8000000000000005E-2</v>
      </c>
      <c r="S20" s="143">
        <v>6.5000000000000002E-2</v>
      </c>
    </row>
    <row r="21" spans="2:19" ht="12.75" customHeight="1">
      <c r="B21" s="12"/>
      <c r="C21" s="12"/>
      <c r="D21" s="11"/>
      <c r="E21" s="11"/>
      <c r="F21" s="11"/>
      <c r="G21" s="11"/>
      <c r="H21" s="11"/>
      <c r="I21" s="11"/>
      <c r="J21" s="11"/>
      <c r="K21" s="11"/>
    </row>
    <row r="22" spans="2:19" s="106" customFormat="1" ht="84.75" customHeight="1">
      <c r="B22" s="181" t="s">
        <v>67</v>
      </c>
      <c r="C22" s="181"/>
      <c r="D22" s="181"/>
      <c r="E22" s="181"/>
      <c r="F22" s="181"/>
      <c r="G22" s="181"/>
      <c r="H22" s="181"/>
      <c r="I22" s="181"/>
      <c r="J22" s="181"/>
      <c r="K22" s="181"/>
      <c r="L22" s="181"/>
      <c r="M22" s="181"/>
      <c r="N22" s="181"/>
    </row>
    <row r="23" spans="2:19" ht="12.75" customHeight="1"/>
    <row r="24" spans="2:19" ht="12.75" customHeight="1"/>
    <row r="25" spans="2:19" ht="12.75" customHeight="1"/>
    <row r="26" spans="2:19" ht="12.75" customHeight="1"/>
    <row r="27" spans="2:19" ht="12.75" customHeight="1"/>
    <row r="28" spans="2:19" ht="12.75" customHeight="1"/>
    <row r="29" spans="2:19" ht="12.75" customHeight="1"/>
    <row r="30" spans="2:19" ht="12.75" customHeight="1"/>
    <row r="31" spans="2:19" ht="12.75" customHeight="1"/>
    <row r="32" spans="2:19"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2021-02-18T20:31:10Z</cp:lastPrinted>
  <dcterms:created xsi:type="dcterms:W3CDTF">2019-07-16T13:32:44Z</dcterms:created>
  <dcterms:modified xsi:type="dcterms:W3CDTF">2025-02-04T17:29:34Z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