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7900" windowHeight="6690" activeTab="1"/>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45621"/>
</workbook>
</file>

<file path=xl/calcChain.xml><?xml version="1.0" encoding="utf-8"?>
<calcChain xmlns="http://schemas.openxmlformats.org/spreadsheetml/2006/main">
  <c r="T7" i="9" l="1"/>
  <c r="T17" i="5" l="1"/>
  <c r="T16" i="5"/>
  <c r="T15" i="5"/>
  <c r="T10" i="5"/>
  <c r="W35" i="8"/>
  <c r="W21" i="8"/>
  <c r="W20" i="8"/>
  <c r="V18" i="9"/>
  <c r="V17" i="9"/>
  <c r="V16" i="9"/>
  <c r="V12" i="9"/>
  <c r="V11" i="9"/>
  <c r="V10" i="9"/>
  <c r="V9" i="9"/>
  <c r="V8" i="9"/>
  <c r="V7" i="9"/>
  <c r="T20" i="9"/>
  <c r="S17" i="5" l="1"/>
  <c r="R17" i="5"/>
  <c r="S16" i="5"/>
  <c r="R16" i="5"/>
  <c r="S15" i="5"/>
  <c r="R15" i="5"/>
  <c r="S10" i="5"/>
  <c r="R10" i="5"/>
  <c r="U38" i="8"/>
  <c r="V35" i="8"/>
  <c r="V38" i="8" s="1"/>
  <c r="U35" i="8"/>
  <c r="V21" i="8"/>
  <c r="U21" i="8"/>
  <c r="U23" i="8" s="1"/>
  <c r="V20" i="8"/>
  <c r="V23" i="8" s="1"/>
  <c r="U20" i="8"/>
  <c r="Q15" i="5" l="1"/>
  <c r="Q16" i="5"/>
  <c r="Q17" i="5"/>
  <c r="Q20" i="9" l="1"/>
  <c r="S38" i="8"/>
  <c r="S23" i="8"/>
  <c r="R38" i="8" l="1"/>
  <c r="R25" i="8"/>
  <c r="R23" i="8" l="1"/>
  <c r="P16" i="5"/>
  <c r="P15" i="5"/>
  <c r="P17" i="5"/>
  <c r="Q38" i="8"/>
  <c r="Q23" i="8"/>
  <c r="O20" i="9"/>
  <c r="N20" i="9" l="1"/>
  <c r="N10" i="9"/>
  <c r="N12" i="9" s="1"/>
  <c r="N17" i="9" s="1"/>
  <c r="P38" i="8"/>
  <c r="P23" i="8"/>
  <c r="N17" i="5"/>
  <c r="N15" i="5"/>
  <c r="N8" i="5"/>
  <c r="N16" i="5" s="1"/>
  <c r="O35" i="8" l="1"/>
  <c r="O38" i="8" s="1"/>
  <c r="O21" i="8"/>
  <c r="O23" i="8" s="1"/>
  <c r="O20" i="8"/>
  <c r="M20" i="9"/>
  <c r="L16" i="5" l="1"/>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<sst xmlns="http://schemas.openxmlformats.org/spreadsheetml/2006/main" count="132" uniqueCount="80">
  <si>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</si>
  <si>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</si>
  <si>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</si>
  <si>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</si>
  <si>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</si>
  <si>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</si>
  <si>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</si>
  <si>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</si>
  <si>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</si>
  <si>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</si>
  <si>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</si>
  <si>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</si>
  <si>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</si>
  <si>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</si>
  <si>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</si>
  <si>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</si>
  <si>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</si>
  <si>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</si>
  <si>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</si>
  <si>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</si>
  <si>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</si>
  <si>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</si>
  <si>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</si>
  <si>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</si>
  <si>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</si>
  <si>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</si>
  <si>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</si>
  <si>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</si>
  <si>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</si>
  <si>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</si>
  <si>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</si>
  <si>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</si>
  <si>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</si>
  <si>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</si>
  <si>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</si>
  <si>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</si>
  <si>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</si>
  <si>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</si>
  <si>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</si>
  <si>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</si>
  <si>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</si>
  <si>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</si>
  <si>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</si>
  <si>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</si>
  <si>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</si>
  <si>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</si>
  <si>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</si>
  <si>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</si>
  <si>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</si>
  <si>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</si>
  <si>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</si>
  <si>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</si>
  <si>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</si>
  <si>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</si>
  <si>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</si>
  <si>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</si>
  <si>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</si>
  <si>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</si>
  <si>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</si>
  <si>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</si>
  <si>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</si>
  <si>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</si>
  <si>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</si>
  <si>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</si>
  <si>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</si>
  <si>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</si>
  <si>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</si>
  <si>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1H2021</t>
  </si>
  <si>
    <t>ns</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</si>
  <si>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</si>
  <si>
    <t>Dec-21</t>
  </si>
  <si>
    <t xml:space="preserve">* Revenues for 2019, 2020 and 2021 correspond to the net banking and insurance income including gains on disposal or dilution in investments in associates. Revenues for other years correspond to the net banking and insurance income. </t>
  </si>
  <si>
    <t>1H2022</t>
  </si>
  <si>
    <t>Dec-22</t>
  </si>
  <si>
    <t>1H2023</t>
  </si>
  <si>
    <t>IFRS 17</t>
  </si>
  <si>
    <t>Dec-23</t>
  </si>
  <si>
    <t>1H2024</t>
  </si>
  <si>
    <t>1H 2024 / 1H 2023</t>
  </si>
  <si>
    <t>+ 1,5 pts</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</si>
</sst>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409]mmm\-yy;@"/>
    <numFmt numFmtId="338"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96">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337" fontId="9" fillId="3" borderId="0" xfId="2" applyNumberFormat="1" applyFont="1" applyFill="1" applyAlignment="1">
      <alignment horizontal="center" vertical="center"/>
    </xf>
    <xf numFmtId="337" fontId="9" fillId="2" borderId="0" xfId="2" applyNumberFormat="1" applyFont="1" applyFill="1" applyAlignment="1">
      <alignment horizontal="center" vertical="center"/>
    </xf>
    <xf numFmtId="337"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7"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338" fontId="267" fillId="2" borderId="2" xfId="1" quotePrefix="1"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6" fontId="253" fillId="2" borderId="67" xfId="0" applyNumberFormat="1" applyFont="1" applyFill="1" applyBorder="1" applyAlignment="1">
      <alignment horizontal="right" vertical="center"/>
    </xf>
    <xf numFmtId="336" fontId="253" fillId="2" borderId="68" xfId="0" applyNumberFormat="1" applyFont="1" applyFill="1" applyBorder="1" applyAlignment="1">
      <alignment horizontal="right" vertical="center"/>
    </xf>
    <xf numFmtId="336" fontId="253" fillId="2" borderId="0" xfId="0" applyNumberFormat="1" applyFont="1" applyFill="1" applyAlignment="1">
      <alignment horizontal="right" vertical="center"/>
    </xf>
    <xf numFmtId="336"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17" fontId="9" fillId="3" borderId="0" xfId="2" applyNumberFormat="1" applyFont="1" applyFill="1" applyAlignment="1">
      <alignment horizontal="center" vertical="center"/>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D4" sqref="D4"/>
    </sheetView>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4"/>
    </row>
    <row r="2" spans="1:13" s="5" customFormat="1" ht="19.899999999999999" customHeight="1">
      <c r="A2" s="1"/>
      <c r="B2" s="1"/>
      <c r="I2" s="54"/>
    </row>
    <row r="3" spans="1:13" s="5" customFormat="1" ht="19.899999999999999" customHeight="1">
      <c r="A3" s="1"/>
      <c r="B3" s="1"/>
      <c r="I3" s="54"/>
    </row>
    <row r="4" spans="1:13" ht="34.9" customHeight="1" thickBot="1"/>
    <row r="5" spans="1:13" ht="19.899999999999999" customHeight="1" thickTop="1">
      <c r="B5" s="182" t="s">
        <v>65</v>
      </c>
      <c r="C5" s="183"/>
      <c r="D5" s="183"/>
      <c r="E5" s="183"/>
      <c r="F5" s="183"/>
      <c r="G5" s="183"/>
      <c r="H5" s="183"/>
      <c r="I5" s="183"/>
      <c r="J5" s="183"/>
      <c r="K5" s="183"/>
      <c r="L5" s="183"/>
      <c r="M5" s="184"/>
    </row>
    <row r="6" spans="1:13" ht="19.899999999999999" customHeight="1">
      <c r="B6" s="185"/>
      <c r="C6" s="186"/>
      <c r="D6" s="186"/>
      <c r="E6" s="186"/>
      <c r="F6" s="186"/>
      <c r="G6" s="186"/>
      <c r="H6" s="186"/>
      <c r="I6" s="186"/>
      <c r="J6" s="186"/>
      <c r="K6" s="186"/>
      <c r="L6" s="186"/>
      <c r="M6" s="187"/>
    </row>
    <row r="7" spans="1:13" ht="19.899999999999999" customHeight="1">
      <c r="B7" s="185"/>
      <c r="C7" s="186"/>
      <c r="D7" s="186"/>
      <c r="E7" s="186"/>
      <c r="F7" s="186"/>
      <c r="G7" s="186"/>
      <c r="H7" s="186"/>
      <c r="I7" s="186"/>
      <c r="J7" s="186"/>
      <c r="K7" s="186"/>
      <c r="L7" s="186"/>
      <c r="M7" s="187"/>
    </row>
    <row r="8" spans="1:13" ht="19.899999999999999" customHeight="1">
      <c r="B8" s="185"/>
      <c r="C8" s="186"/>
      <c r="D8" s="186"/>
      <c r="E8" s="186"/>
      <c r="F8" s="186"/>
      <c r="G8" s="186"/>
      <c r="H8" s="186"/>
      <c r="I8" s="186"/>
      <c r="J8" s="186"/>
      <c r="K8" s="186"/>
      <c r="L8" s="186"/>
      <c r="M8" s="187"/>
    </row>
    <row r="9" spans="1:13" ht="19.899999999999999" customHeight="1">
      <c r="B9" s="185"/>
      <c r="C9" s="186"/>
      <c r="D9" s="186"/>
      <c r="E9" s="186"/>
      <c r="F9" s="186"/>
      <c r="G9" s="186"/>
      <c r="H9" s="186"/>
      <c r="I9" s="186"/>
      <c r="J9" s="186"/>
      <c r="K9" s="186"/>
      <c r="L9" s="186"/>
      <c r="M9" s="187"/>
    </row>
    <row r="10" spans="1:13" ht="19.899999999999999" customHeight="1">
      <c r="B10" s="185"/>
      <c r="C10" s="186"/>
      <c r="D10" s="186"/>
      <c r="E10" s="186"/>
      <c r="F10" s="186"/>
      <c r="G10" s="186"/>
      <c r="H10" s="186"/>
      <c r="I10" s="186"/>
      <c r="J10" s="186"/>
      <c r="K10" s="186"/>
      <c r="L10" s="186"/>
      <c r="M10" s="187"/>
    </row>
    <row r="11" spans="1:13" ht="19.899999999999999" customHeight="1">
      <c r="B11" s="185"/>
      <c r="C11" s="186"/>
      <c r="D11" s="186"/>
      <c r="E11" s="186"/>
      <c r="F11" s="186"/>
      <c r="G11" s="186"/>
      <c r="H11" s="186"/>
      <c r="I11" s="186"/>
      <c r="J11" s="186"/>
      <c r="K11" s="186"/>
      <c r="L11" s="186"/>
      <c r="M11" s="187"/>
    </row>
    <row r="12" spans="1:13" ht="19.899999999999999" customHeight="1">
      <c r="B12" s="185"/>
      <c r="C12" s="186"/>
      <c r="D12" s="186"/>
      <c r="E12" s="186"/>
      <c r="F12" s="186"/>
      <c r="G12" s="186"/>
      <c r="H12" s="186"/>
      <c r="I12" s="186"/>
      <c r="J12" s="186"/>
      <c r="K12" s="186"/>
      <c r="L12" s="186"/>
      <c r="M12" s="187"/>
    </row>
    <row r="13" spans="1:13" ht="19.899999999999999" customHeight="1">
      <c r="B13" s="185"/>
      <c r="C13" s="186"/>
      <c r="D13" s="186"/>
      <c r="E13" s="186"/>
      <c r="F13" s="186"/>
      <c r="G13" s="186"/>
      <c r="H13" s="186"/>
      <c r="I13" s="186"/>
      <c r="J13" s="186"/>
      <c r="K13" s="186"/>
      <c r="L13" s="186"/>
      <c r="M13" s="187"/>
    </row>
    <row r="14" spans="1:13" ht="19.899999999999999" customHeight="1">
      <c r="B14" s="185"/>
      <c r="C14" s="186"/>
      <c r="D14" s="186"/>
      <c r="E14" s="186"/>
      <c r="F14" s="186"/>
      <c r="G14" s="186"/>
      <c r="H14" s="186"/>
      <c r="I14" s="186"/>
      <c r="J14" s="186"/>
      <c r="K14" s="186"/>
      <c r="L14" s="186"/>
      <c r="M14" s="187"/>
    </row>
    <row r="15" spans="1:13" ht="19.899999999999999" customHeight="1">
      <c r="B15" s="185"/>
      <c r="C15" s="186"/>
      <c r="D15" s="186"/>
      <c r="E15" s="186"/>
      <c r="F15" s="186"/>
      <c r="G15" s="186"/>
      <c r="H15" s="186"/>
      <c r="I15" s="186"/>
      <c r="J15" s="186"/>
      <c r="K15" s="186"/>
      <c r="L15" s="186"/>
      <c r="M15" s="187"/>
    </row>
    <row r="16" spans="1:13" ht="19.899999999999999" customHeight="1">
      <c r="B16" s="185"/>
      <c r="C16" s="186"/>
      <c r="D16" s="186"/>
      <c r="E16" s="186"/>
      <c r="F16" s="186"/>
      <c r="G16" s="186"/>
      <c r="H16" s="186"/>
      <c r="I16" s="186"/>
      <c r="J16" s="186"/>
      <c r="K16" s="186"/>
      <c r="L16" s="186"/>
      <c r="M16" s="187"/>
    </row>
    <row r="17" spans="2:13" ht="19.899999999999999" customHeight="1">
      <c r="B17" s="185"/>
      <c r="C17" s="186"/>
      <c r="D17" s="186"/>
      <c r="E17" s="186"/>
      <c r="F17" s="186"/>
      <c r="G17" s="186"/>
      <c r="H17" s="186"/>
      <c r="I17" s="186"/>
      <c r="J17" s="186"/>
      <c r="K17" s="186"/>
      <c r="L17" s="186"/>
      <c r="M17" s="187"/>
    </row>
    <row r="18" spans="2:13" ht="19.899999999999999" customHeight="1">
      <c r="B18" s="185"/>
      <c r="C18" s="186"/>
      <c r="D18" s="186"/>
      <c r="E18" s="186"/>
      <c r="F18" s="186"/>
      <c r="G18" s="186"/>
      <c r="H18" s="186"/>
      <c r="I18" s="186"/>
      <c r="J18" s="186"/>
      <c r="K18" s="186"/>
      <c r="L18" s="186"/>
      <c r="M18" s="187"/>
    </row>
    <row r="19" spans="2:13" ht="19.899999999999999" customHeight="1">
      <c r="B19" s="185"/>
      <c r="C19" s="186"/>
      <c r="D19" s="186"/>
      <c r="E19" s="186"/>
      <c r="F19" s="186"/>
      <c r="G19" s="186"/>
      <c r="H19" s="186"/>
      <c r="I19" s="186"/>
      <c r="J19" s="186"/>
      <c r="K19" s="186"/>
      <c r="L19" s="186"/>
      <c r="M19" s="187"/>
    </row>
    <row r="20" spans="2:13" ht="19.899999999999999" customHeight="1" thickBot="1">
      <c r="B20" s="188"/>
      <c r="C20" s="189"/>
      <c r="D20" s="189"/>
      <c r="E20" s="189"/>
      <c r="F20" s="189"/>
      <c r="G20" s="189"/>
      <c r="H20" s="189"/>
      <c r="I20" s="189"/>
      <c r="J20" s="189"/>
      <c r="K20" s="189"/>
      <c r="L20" s="189"/>
      <c r="M20" s="190"/>
    </row>
    <row r="21" spans="2:13" ht="19.899999999999999"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showGridLines="0" tabSelected="1" topLeftCell="A11" zoomScaleNormal="100" workbookViewId="0">
      <selection activeCell="S21" sqref="S21"/>
    </sheetView>
  </sheetViews>
  <sheetFormatPr baseColWidth="10" defaultRowHeight="15"/>
  <cols>
    <col min="1" max="1" width="2.7109375" customWidth="1"/>
    <col min="2" max="2" width="36.85546875" bestFit="1" customWidth="1"/>
    <col min="3" max="20" width="8.7109375" style="85" customWidth="1"/>
    <col min="21" max="21" width="2.7109375" style="151" customWidth="1"/>
    <col min="22" max="22" width="8.7109375" customWidth="1"/>
  </cols>
  <sheetData>
    <row r="1" spans="1:22" s="5" customFormat="1" ht="19.899999999999999" customHeight="1">
      <c r="A1" s="1"/>
      <c r="B1" s="1"/>
      <c r="U1" s="150"/>
    </row>
    <row r="2" spans="1:22" s="5" customFormat="1" ht="19.899999999999999" customHeight="1">
      <c r="A2" s="1"/>
      <c r="B2" s="1"/>
      <c r="U2" s="150"/>
    </row>
    <row r="3" spans="1:22" s="5" customFormat="1" ht="19.899999999999999" customHeight="1">
      <c r="A3" s="1"/>
      <c r="B3" s="1"/>
      <c r="R3" s="192" t="s">
        <v>75</v>
      </c>
      <c r="S3" s="192"/>
      <c r="T3" s="192"/>
      <c r="U3" s="150"/>
    </row>
    <row r="4" spans="1:22" ht="35.1" customHeight="1">
      <c r="B4" s="75" t="s">
        <v>35</v>
      </c>
    </row>
    <row r="5" spans="1:22" ht="30" customHeight="1">
      <c r="B5" s="9" t="s">
        <v>47</v>
      </c>
      <c r="C5" s="2">
        <v>2015</v>
      </c>
      <c r="D5" s="149" t="s">
        <v>60</v>
      </c>
      <c r="E5" s="2">
        <v>2016</v>
      </c>
      <c r="F5" s="149" t="s">
        <v>58</v>
      </c>
      <c r="G5" s="2">
        <v>2017</v>
      </c>
      <c r="H5" s="149" t="s">
        <v>59</v>
      </c>
      <c r="I5" s="2">
        <v>2018</v>
      </c>
      <c r="J5" s="149" t="s">
        <v>61</v>
      </c>
      <c r="K5" s="2">
        <v>2019</v>
      </c>
      <c r="L5" s="2" t="s">
        <v>64</v>
      </c>
      <c r="M5" s="2">
        <v>2020</v>
      </c>
      <c r="N5" s="2" t="s">
        <v>67</v>
      </c>
      <c r="O5" s="2">
        <v>2021</v>
      </c>
      <c r="P5" s="2" t="s">
        <v>72</v>
      </c>
      <c r="Q5" s="2">
        <v>2022</v>
      </c>
      <c r="R5" s="2" t="s">
        <v>74</v>
      </c>
      <c r="S5" s="2">
        <v>2023</v>
      </c>
      <c r="T5" s="2" t="s">
        <v>77</v>
      </c>
      <c r="U5" s="152"/>
      <c r="V5" s="2" t="s">
        <v>78</v>
      </c>
    </row>
    <row r="6" spans="1:22">
      <c r="B6" s="89"/>
      <c r="C6" s="90"/>
      <c r="D6" s="90"/>
      <c r="E6" s="90"/>
      <c r="F6" s="90"/>
      <c r="G6" s="90"/>
      <c r="H6" s="90"/>
      <c r="I6" s="90"/>
      <c r="J6" s="90"/>
      <c r="K6" s="90"/>
      <c r="L6" s="90"/>
      <c r="M6" s="90"/>
      <c r="N6" s="172"/>
      <c r="O6" s="90"/>
      <c r="P6" s="172"/>
      <c r="Q6" s="90"/>
      <c r="R6" s="172"/>
      <c r="S6" s="90"/>
      <c r="T6" s="172"/>
      <c r="U6" s="153"/>
      <c r="V6" s="90"/>
    </row>
    <row r="7" spans="1:22" ht="24.95" customHeight="1">
      <c r="B7" s="88" t="s">
        <v>63</v>
      </c>
      <c r="C7" s="81">
        <v>1780</v>
      </c>
      <c r="D7" s="116">
        <v>936.42499999999995</v>
      </c>
      <c r="E7" s="123">
        <v>1851.9880000000001</v>
      </c>
      <c r="F7" s="116">
        <v>1002.766</v>
      </c>
      <c r="G7" s="123">
        <v>2089.6060000000002</v>
      </c>
      <c r="H7" s="116">
        <v>1082.423</v>
      </c>
      <c r="I7" s="123">
        <v>2145.8049999999998</v>
      </c>
      <c r="J7" s="116">
        <v>1115.819</v>
      </c>
      <c r="K7" s="123">
        <v>2303</v>
      </c>
      <c r="L7" s="116">
        <v>1096.4269999999999</v>
      </c>
      <c r="M7" s="123">
        <v>2157.5230000000001</v>
      </c>
      <c r="N7" s="118">
        <v>1224.0640000000001</v>
      </c>
      <c r="O7" s="123">
        <v>2530.65</v>
      </c>
      <c r="P7" s="118">
        <v>1342.5550000000001</v>
      </c>
      <c r="Q7" s="123">
        <v>2569.7350000000001</v>
      </c>
      <c r="R7" s="118">
        <v>1120.048</v>
      </c>
      <c r="S7" s="123">
        <v>2139.7719999999999</v>
      </c>
      <c r="T7" s="118">
        <f>1032.353+15.191</f>
        <v>1047.5440000000001</v>
      </c>
      <c r="U7" s="154"/>
      <c r="V7" s="173">
        <f>T7/R7-1</f>
        <v>-6.4732940016856366E-2</v>
      </c>
    </row>
    <row r="8" spans="1:22" ht="24.95" customHeight="1">
      <c r="B8" s="3" t="s">
        <v>24</v>
      </c>
      <c r="C8" s="82">
        <v>-1137</v>
      </c>
      <c r="D8" s="117">
        <v>-606.42100000000005</v>
      </c>
      <c r="E8" s="124">
        <v>-1171.597</v>
      </c>
      <c r="F8" s="117">
        <v>-632.298</v>
      </c>
      <c r="G8" s="124">
        <v>-1313.0809999999999</v>
      </c>
      <c r="H8" s="117">
        <v>-675.46400000000006</v>
      </c>
      <c r="I8" s="124">
        <v>-1394.211</v>
      </c>
      <c r="J8" s="117">
        <f>-708.439</f>
        <v>-708.43899999999996</v>
      </c>
      <c r="K8" s="124">
        <v>-1446</v>
      </c>
      <c r="L8" s="117">
        <v>-600.29999999999995</v>
      </c>
      <c r="M8" s="124">
        <v>-1353.2570000000001</v>
      </c>
      <c r="N8" s="117">
        <v>-734.89700000000005</v>
      </c>
      <c r="O8" s="124">
        <v>-1550.442</v>
      </c>
      <c r="P8" s="117">
        <v>-797.58199999999999</v>
      </c>
      <c r="Q8" s="124">
        <v>-1658.0630000000001</v>
      </c>
      <c r="R8" s="117">
        <v>-724.798</v>
      </c>
      <c r="S8" s="124">
        <v>-1441.9490000000001</v>
      </c>
      <c r="T8" s="117">
        <v>-718.96600000000001</v>
      </c>
      <c r="U8" s="155"/>
      <c r="V8" s="174">
        <f t="shared" ref="V8:V12" si="0">T8/R8-1</f>
        <v>-8.0463798189288616E-3</v>
      </c>
    </row>
    <row r="9" spans="1:22" ht="24.95" customHeight="1">
      <c r="B9" s="3" t="s">
        <v>50</v>
      </c>
      <c r="C9" s="82">
        <v>-99</v>
      </c>
      <c r="D9" s="117">
        <v>-50.887</v>
      </c>
      <c r="E9" s="124">
        <v>-110.69499999999999</v>
      </c>
      <c r="F9" s="117">
        <v>-55.572000000000003</v>
      </c>
      <c r="G9" s="124">
        <v>-114.291</v>
      </c>
      <c r="H9" s="117">
        <v>-58.106000000000002</v>
      </c>
      <c r="I9" s="124">
        <v>-119.31399999999999</v>
      </c>
      <c r="J9" s="117">
        <v>-64.188000000000002</v>
      </c>
      <c r="K9" s="124">
        <v>-133</v>
      </c>
      <c r="L9" s="117">
        <v>-67.001999999999995</v>
      </c>
      <c r="M9" s="124">
        <v>-139.761</v>
      </c>
      <c r="N9" s="117">
        <v>-71.703000000000003</v>
      </c>
      <c r="O9" s="124">
        <v>-151.60499999999999</v>
      </c>
      <c r="P9" s="117">
        <v>-73.049000000000007</v>
      </c>
      <c r="Q9" s="124">
        <v>-155.95500000000001</v>
      </c>
      <c r="R9" s="117">
        <v>-74.713999999999999</v>
      </c>
      <c r="S9" s="124">
        <v>-125.42400000000001</v>
      </c>
      <c r="T9" s="117">
        <v>-44.241</v>
      </c>
      <c r="U9" s="155"/>
      <c r="V9" s="174">
        <f t="shared" si="0"/>
        <v>-0.40786198035174126</v>
      </c>
    </row>
    <row r="10" spans="1:22" ht="24.95" customHeight="1">
      <c r="B10" s="7" t="s">
        <v>25</v>
      </c>
      <c r="C10" s="81">
        <v>545</v>
      </c>
      <c r="D10" s="118">
        <v>279.11700000000002</v>
      </c>
      <c r="E10" s="120">
        <v>569.69600000000003</v>
      </c>
      <c r="F10" s="118">
        <v>314.89600000000002</v>
      </c>
      <c r="G10" s="120">
        <v>662.23400000000004</v>
      </c>
      <c r="H10" s="118">
        <v>348.85300000000001</v>
      </c>
      <c r="I10" s="120">
        <v>632.28</v>
      </c>
      <c r="J10" s="118">
        <v>343.19200000000001</v>
      </c>
      <c r="K10" s="120">
        <v>724</v>
      </c>
      <c r="L10" s="118">
        <v>429.125</v>
      </c>
      <c r="M10" s="120">
        <v>664.5</v>
      </c>
      <c r="N10" s="118">
        <f>+N7+N8+N9</f>
        <v>417.46400000000006</v>
      </c>
      <c r="O10" s="120">
        <v>828.60299999999995</v>
      </c>
      <c r="P10" s="118">
        <v>471.92399999999998</v>
      </c>
      <c r="Q10" s="120">
        <v>755.43</v>
      </c>
      <c r="R10" s="118">
        <v>320.49900000000002</v>
      </c>
      <c r="S10" s="120">
        <v>602.42499999999995</v>
      </c>
      <c r="T10" s="118">
        <v>284</v>
      </c>
      <c r="U10" s="154"/>
      <c r="V10" s="122">
        <f t="shared" si="0"/>
        <v>-0.11388179058281001</v>
      </c>
    </row>
    <row r="11" spans="1:22" ht="24.95" customHeight="1">
      <c r="B11" s="3" t="s">
        <v>26</v>
      </c>
      <c r="C11" s="82">
        <v>-108</v>
      </c>
      <c r="D11" s="117">
        <v>-26.041</v>
      </c>
      <c r="E11" s="124">
        <v>-103.21</v>
      </c>
      <c r="F11" s="117">
        <v>-25.332999999999998</v>
      </c>
      <c r="G11" s="124">
        <v>-52.731000000000002</v>
      </c>
      <c r="H11" s="117">
        <v>-37.662999999999997</v>
      </c>
      <c r="I11" s="124">
        <v>-63.679000000000002</v>
      </c>
      <c r="J11" s="117">
        <v>-33.729999999999997</v>
      </c>
      <c r="K11" s="124">
        <v>-99</v>
      </c>
      <c r="L11" s="117">
        <v>-84.22</v>
      </c>
      <c r="M11" s="124">
        <v>-160.07</v>
      </c>
      <c r="N11" s="117">
        <v>-52.588999999999999</v>
      </c>
      <c r="O11" s="124">
        <v>-115.789</v>
      </c>
      <c r="P11" s="117">
        <v>-48.966999999999999</v>
      </c>
      <c r="Q11" s="124">
        <v>-136.006</v>
      </c>
      <c r="R11" s="117">
        <v>-54.447000000000003</v>
      </c>
      <c r="S11" s="124">
        <v>-94.344999999999999</v>
      </c>
      <c r="T11" s="117">
        <v>-76</v>
      </c>
      <c r="U11" s="155"/>
      <c r="V11" s="174">
        <f t="shared" si="0"/>
        <v>0.39585284772347418</v>
      </c>
    </row>
    <row r="12" spans="1:22" ht="24.95" customHeight="1">
      <c r="B12" s="8" t="s">
        <v>27</v>
      </c>
      <c r="C12" s="81">
        <v>437</v>
      </c>
      <c r="D12" s="118">
        <v>253.07599999999999</v>
      </c>
      <c r="E12" s="120">
        <v>466.48599999999999</v>
      </c>
      <c r="F12" s="118">
        <v>289.56299999999999</v>
      </c>
      <c r="G12" s="120">
        <v>609.50300000000004</v>
      </c>
      <c r="H12" s="118">
        <v>311.19</v>
      </c>
      <c r="I12" s="120">
        <v>568.601</v>
      </c>
      <c r="J12" s="118">
        <v>309.46199999999999</v>
      </c>
      <c r="K12" s="120">
        <v>626</v>
      </c>
      <c r="L12" s="118">
        <v>344.90499999999997</v>
      </c>
      <c r="M12" s="120">
        <v>504.43400000000003</v>
      </c>
      <c r="N12" s="118">
        <f>+N10+N11</f>
        <v>364.87500000000006</v>
      </c>
      <c r="O12" s="120">
        <v>712.81399999999996</v>
      </c>
      <c r="P12" s="118">
        <v>422.95699999999999</v>
      </c>
      <c r="Q12" s="120">
        <v>619.42399999999998</v>
      </c>
      <c r="R12" s="118">
        <v>266.05200000000002</v>
      </c>
      <c r="S12" s="120">
        <v>508.08</v>
      </c>
      <c r="T12" s="118">
        <v>208</v>
      </c>
      <c r="U12" s="154"/>
      <c r="V12" s="122">
        <f t="shared" si="0"/>
        <v>-0.21819794626614353</v>
      </c>
    </row>
    <row r="13" spans="1:22" ht="24.95" customHeight="1">
      <c r="B13" s="4" t="s">
        <v>28</v>
      </c>
      <c r="C13" s="82">
        <v>4</v>
      </c>
      <c r="D13" s="117">
        <v>4.9589999999999996</v>
      </c>
      <c r="E13" s="124">
        <v>10.061999999999999</v>
      </c>
      <c r="F13" s="117">
        <v>1.6739999999999999</v>
      </c>
      <c r="G13" s="124">
        <v>23.919</v>
      </c>
      <c r="H13" s="117">
        <v>6.5460000000000003</v>
      </c>
      <c r="I13" s="124">
        <v>0.248</v>
      </c>
      <c r="J13" s="117">
        <f>0.434</f>
        <v>0.434</v>
      </c>
      <c r="K13" s="124">
        <v>-1.837</v>
      </c>
      <c r="L13" s="117">
        <v>1.165</v>
      </c>
      <c r="M13" s="124">
        <v>1.1000000000000001</v>
      </c>
      <c r="N13" s="117">
        <v>2.6440000000000001</v>
      </c>
      <c r="O13" s="124">
        <v>3.4253950301201397</v>
      </c>
      <c r="P13" s="117">
        <v>3.03019665999176</v>
      </c>
      <c r="Q13" s="124">
        <v>0.635496030672978</v>
      </c>
      <c r="R13" s="117">
        <v>1.117</v>
      </c>
      <c r="S13" s="124">
        <v>15.358000000000001</v>
      </c>
      <c r="T13" s="117">
        <v>5</v>
      </c>
      <c r="U13" s="155"/>
      <c r="V13" s="174" t="s">
        <v>68</v>
      </c>
    </row>
    <row r="14" spans="1:22" ht="24.95" customHeight="1">
      <c r="B14" s="3" t="s">
        <v>29</v>
      </c>
      <c r="C14" s="82">
        <v>2</v>
      </c>
      <c r="D14" s="117">
        <v>-3.1829999999999998</v>
      </c>
      <c r="E14" s="124">
        <v>-3.3460000000000001</v>
      </c>
      <c r="F14" s="117">
        <v>-2.032</v>
      </c>
      <c r="G14" s="124">
        <v>-2.4289999999999998</v>
      </c>
      <c r="H14" s="117">
        <v>0.47399999999999998</v>
      </c>
      <c r="I14" s="124">
        <v>4.8289999999999997</v>
      </c>
      <c r="J14" s="117">
        <f>23.789</f>
        <v>23.789000000000001</v>
      </c>
      <c r="K14" s="124">
        <v>1.918512</v>
      </c>
      <c r="L14" s="117">
        <v>-2.0219999999999998</v>
      </c>
      <c r="M14" s="124">
        <v>-1.9530000000000001</v>
      </c>
      <c r="N14" s="117">
        <v>0.54100000000000004</v>
      </c>
      <c r="O14" s="124">
        <v>0.34899999999999998</v>
      </c>
      <c r="P14" s="117">
        <v>9.9380000000000006</v>
      </c>
      <c r="Q14" s="124">
        <v>87.113</v>
      </c>
      <c r="R14" s="117">
        <v>-0.50600000000000001</v>
      </c>
      <c r="S14" s="124">
        <v>29.797000000000001</v>
      </c>
      <c r="T14" s="117">
        <v>-2</v>
      </c>
      <c r="U14" s="155"/>
      <c r="V14" s="174" t="s">
        <v>68</v>
      </c>
    </row>
    <row r="15" spans="1:22" ht="24.95" customHeight="1">
      <c r="B15" s="3" t="s">
        <v>30</v>
      </c>
      <c r="C15" s="82">
        <v>0</v>
      </c>
      <c r="D15" s="117">
        <v>0</v>
      </c>
      <c r="E15" s="124">
        <v>0</v>
      </c>
      <c r="F15" s="117">
        <v>0</v>
      </c>
      <c r="G15" s="124">
        <v>0</v>
      </c>
      <c r="H15" s="117">
        <v>19.626000000000001</v>
      </c>
      <c r="I15" s="124">
        <v>19.548999999999999</v>
      </c>
      <c r="J15" s="117">
        <v>0</v>
      </c>
      <c r="K15" s="124">
        <v>0</v>
      </c>
      <c r="L15" s="117">
        <v>0</v>
      </c>
      <c r="M15" s="124">
        <v>-10.974</v>
      </c>
      <c r="N15" s="117">
        <v>0</v>
      </c>
      <c r="O15" s="124">
        <v>0</v>
      </c>
      <c r="P15" s="117">
        <v>0</v>
      </c>
      <c r="Q15" s="124">
        <v>-33.710999999999999</v>
      </c>
      <c r="R15" s="117">
        <v>0</v>
      </c>
      <c r="S15" s="124">
        <v>-10.968999999999999</v>
      </c>
      <c r="T15" s="117">
        <v>0</v>
      </c>
      <c r="U15" s="155"/>
      <c r="V15" s="174" t="s">
        <v>68</v>
      </c>
    </row>
    <row r="16" spans="1:22" ht="24.95" customHeight="1">
      <c r="B16" s="3" t="s">
        <v>31</v>
      </c>
      <c r="C16" s="82">
        <v>-147</v>
      </c>
      <c r="D16" s="117">
        <v>-68.144000000000005</v>
      </c>
      <c r="E16" s="124">
        <v>-136.86600000000001</v>
      </c>
      <c r="F16" s="117">
        <v>-95.825999999999993</v>
      </c>
      <c r="G16" s="124">
        <v>-202.751</v>
      </c>
      <c r="H16" s="117">
        <v>-91.284999999999997</v>
      </c>
      <c r="I16" s="124">
        <v>-155.69499999999999</v>
      </c>
      <c r="J16" s="117">
        <v>-89.47</v>
      </c>
      <c r="K16" s="124">
        <v>-132</v>
      </c>
      <c r="L16" s="117">
        <v>-94.594999999999999</v>
      </c>
      <c r="M16" s="124">
        <v>-136.346</v>
      </c>
      <c r="N16" s="117">
        <v>-91.108999999999995</v>
      </c>
      <c r="O16" s="124">
        <v>-143.047</v>
      </c>
      <c r="P16" s="117">
        <v>-76.013999999999996</v>
      </c>
      <c r="Q16" s="124">
        <v>-122.053</v>
      </c>
      <c r="R16" s="117">
        <v>-63.284999999999997</v>
      </c>
      <c r="S16" s="124">
        <v>123.58499999999999</v>
      </c>
      <c r="T16" s="117">
        <v>-42</v>
      </c>
      <c r="U16" s="155"/>
      <c r="V16" s="174">
        <f t="shared" ref="V16:V18" si="1">T16/R16-1</f>
        <v>-0.33633562455558186</v>
      </c>
    </row>
    <row r="17" spans="2:22" ht="24.95" customHeight="1">
      <c r="B17" s="6" t="s">
        <v>32</v>
      </c>
      <c r="C17" s="83">
        <v>296</v>
      </c>
      <c r="D17" s="119">
        <v>186.708</v>
      </c>
      <c r="E17" s="125">
        <v>336.33600000000001</v>
      </c>
      <c r="F17" s="119">
        <v>193.37899999999999</v>
      </c>
      <c r="G17" s="125">
        <v>428.24200000000002</v>
      </c>
      <c r="H17" s="119">
        <v>246.55099999999999</v>
      </c>
      <c r="I17" s="125">
        <v>437.53199999999998</v>
      </c>
      <c r="J17" s="119">
        <v>244</v>
      </c>
      <c r="K17" s="125">
        <v>511</v>
      </c>
      <c r="L17" s="119">
        <v>249.453</v>
      </c>
      <c r="M17" s="125">
        <v>356.267</v>
      </c>
      <c r="N17" s="119">
        <f>+N12+N13+N14+N15+N16</f>
        <v>276.95100000000008</v>
      </c>
      <c r="O17" s="125">
        <v>573.54139503012016</v>
      </c>
      <c r="P17" s="119">
        <v>359.91119665999173</v>
      </c>
      <c r="Q17" s="125">
        <v>551.40849603067306</v>
      </c>
      <c r="R17" s="119">
        <v>203.37799999999999</v>
      </c>
      <c r="S17" s="125">
        <v>418.68099999999998</v>
      </c>
      <c r="T17" s="119">
        <v>170</v>
      </c>
      <c r="U17" s="155"/>
      <c r="V17" s="175">
        <f t="shared" si="1"/>
        <v>-0.16411804619968717</v>
      </c>
    </row>
    <row r="18" spans="2:22" ht="24.95" customHeight="1">
      <c r="B18" s="10" t="s">
        <v>33</v>
      </c>
      <c r="C18" s="81">
        <v>296</v>
      </c>
      <c r="D18" s="120">
        <v>186.69800000000001</v>
      </c>
      <c r="E18" s="120">
        <v>336.18700000000001</v>
      </c>
      <c r="F18" s="120">
        <v>193.262</v>
      </c>
      <c r="G18" s="120">
        <v>428.12099999999998</v>
      </c>
      <c r="H18" s="120">
        <v>246.511</v>
      </c>
      <c r="I18" s="120">
        <v>437.28800000000001</v>
      </c>
      <c r="J18" s="120">
        <v>244.35900000000001</v>
      </c>
      <c r="K18" s="120">
        <v>511</v>
      </c>
      <c r="L18" s="120">
        <v>249.46</v>
      </c>
      <c r="M18" s="120">
        <v>356.24099999999999</v>
      </c>
      <c r="N18" s="120">
        <v>277.05799999999999</v>
      </c>
      <c r="O18" s="120">
        <v>573.72335194326729</v>
      </c>
      <c r="P18" s="120">
        <v>359.91951973167357</v>
      </c>
      <c r="Q18" s="120">
        <v>550.71213185887007</v>
      </c>
      <c r="R18" s="120">
        <v>202.60400000000001</v>
      </c>
      <c r="S18" s="120">
        <v>416.75</v>
      </c>
      <c r="T18" s="120">
        <v>167</v>
      </c>
      <c r="U18" s="154"/>
      <c r="V18" s="126">
        <f t="shared" si="1"/>
        <v>-0.17573196975380556</v>
      </c>
    </row>
    <row r="19" spans="2:22">
      <c r="B19" s="5"/>
      <c r="C19" s="80"/>
      <c r="D19" s="121"/>
      <c r="E19" s="121"/>
      <c r="F19" s="121"/>
      <c r="G19" s="121"/>
      <c r="H19" s="121"/>
      <c r="I19" s="121"/>
      <c r="J19" s="121"/>
      <c r="K19" s="121"/>
      <c r="L19" s="121"/>
      <c r="M19" s="121"/>
      <c r="N19" s="121"/>
      <c r="O19" s="121"/>
      <c r="P19" s="121"/>
      <c r="Q19" s="121"/>
      <c r="R19" s="121"/>
      <c r="S19" s="121"/>
      <c r="T19" s="121"/>
      <c r="U19" s="156"/>
      <c r="V19" s="80"/>
    </row>
    <row r="20" spans="2:22" ht="24.95" customHeight="1">
      <c r="B20" s="8" t="s">
        <v>34</v>
      </c>
      <c r="C20" s="84">
        <v>0.69516310461192354</v>
      </c>
      <c r="D20" s="122">
        <v>0.70193341698480927</v>
      </c>
      <c r="E20" s="126">
        <v>0.69238677572424867</v>
      </c>
      <c r="F20" s="122">
        <v>0.68597259978898373</v>
      </c>
      <c r="G20" s="126">
        <v>0.68308188242185353</v>
      </c>
      <c r="H20" s="122">
        <v>0.67771102424837615</v>
      </c>
      <c r="I20" s="126">
        <v>0.70534135207998871</v>
      </c>
      <c r="J20" s="122">
        <v>0.69242562724014334</v>
      </c>
      <c r="K20" s="126">
        <v>0.68500000000000005</v>
      </c>
      <c r="L20" s="122">
        <f>-(L8+L9)/L7</f>
        <v>0.60861507423658845</v>
      </c>
      <c r="M20" s="126">
        <f>-(M8+M9)/M7</f>
        <v>0.69200560086729079</v>
      </c>
      <c r="N20" s="122">
        <f>-(N8+N9)/N7</f>
        <v>0.65895247307330329</v>
      </c>
      <c r="O20" s="126">
        <f>-(O8+O9)/O7</f>
        <v>0.67257305435362458</v>
      </c>
      <c r="P20" s="122">
        <v>0.64848814387492504</v>
      </c>
      <c r="Q20" s="126">
        <f>-(Q8+Q9)/Q7</f>
        <v>0.70591636880845687</v>
      </c>
      <c r="R20" s="122">
        <v>0.71399999999999997</v>
      </c>
      <c r="S20" s="126">
        <v>0.71799999999999997</v>
      </c>
      <c r="T20" s="122">
        <f>-(T8+T9)/T7</f>
        <v>0.72856796468692475</v>
      </c>
      <c r="U20" s="157"/>
      <c r="V20" s="158" t="s">
        <v>79</v>
      </c>
    </row>
    <row r="21" spans="2:22">
      <c r="L21" s="159"/>
      <c r="M21" s="159"/>
      <c r="N21" s="159"/>
      <c r="O21" s="159"/>
      <c r="P21" s="159"/>
      <c r="Q21" s="159"/>
      <c r="R21" s="159"/>
      <c r="S21" s="159"/>
      <c r="T21" s="159"/>
      <c r="U21" s="160"/>
    </row>
    <row r="22" spans="2:22" ht="24" customHeight="1">
      <c r="B22" s="191" t="s">
        <v>71</v>
      </c>
      <c r="C22" s="191"/>
      <c r="D22" s="191"/>
      <c r="E22" s="191"/>
      <c r="F22" s="191"/>
      <c r="G22" s="191"/>
      <c r="H22" s="191"/>
      <c r="I22" s="191"/>
      <c r="J22" s="191"/>
      <c r="K22" s="191"/>
      <c r="L22" s="191"/>
      <c r="M22" s="191"/>
      <c r="N22" s="161"/>
      <c r="O22" s="176"/>
      <c r="P22" s="177"/>
      <c r="Q22" s="178"/>
      <c r="R22" s="179"/>
      <c r="S22" s="179"/>
      <c r="T22" s="180"/>
      <c r="U22"/>
    </row>
  </sheetData>
  <mergeCells count="2">
    <mergeCell ref="B22:M22"/>
    <mergeCell ref="R3:T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showGridLines="0" topLeftCell="E1" zoomScaleNormal="100" workbookViewId="0">
      <selection activeCell="Y32" sqref="Y32"/>
    </sheetView>
  </sheetViews>
  <sheetFormatPr baseColWidth="10" defaultColWidth="11.42578125" defaultRowHeight="12.75"/>
  <cols>
    <col min="1" max="1" width="2.7109375" style="34" customWidth="1"/>
    <col min="2" max="2" width="55.140625" style="34" customWidth="1"/>
    <col min="3" max="3" width="12" style="34" customWidth="1"/>
    <col min="4" max="7" width="11.28515625" style="34" bestFit="1" customWidth="1"/>
    <col min="8" max="8" width="2.85546875" style="53" customWidth="1"/>
    <col min="9" max="10" width="11.28515625" style="34" bestFit="1" customWidth="1"/>
    <col min="11" max="11" width="10.7109375" style="34" customWidth="1"/>
    <col min="12" max="12" width="11.28515625" style="34" bestFit="1" customWidth="1"/>
    <col min="13" max="13" width="10.7109375" style="34" customWidth="1"/>
    <col min="14" max="15" width="11.28515625" style="34" bestFit="1" customWidth="1"/>
    <col min="16" max="16" width="10.7109375" style="34" customWidth="1"/>
    <col min="17" max="17" width="11.28515625" style="34" bestFit="1" customWidth="1"/>
    <col min="18" max="19" width="11.42578125" style="34"/>
    <col min="20" max="20" width="2.5703125" style="34" customWidth="1"/>
    <col min="21" max="16384" width="11.42578125" style="34"/>
  </cols>
  <sheetData>
    <row r="1" spans="1:23" s="5" customFormat="1" ht="19.899999999999999" customHeight="1">
      <c r="A1" s="1"/>
      <c r="B1" s="1"/>
      <c r="H1" s="54"/>
    </row>
    <row r="2" spans="1:23" s="5" customFormat="1" ht="19.899999999999999" customHeight="1">
      <c r="A2" s="1"/>
      <c r="B2" s="1"/>
      <c r="H2" s="54"/>
    </row>
    <row r="3" spans="1:23" s="5" customFormat="1" ht="19.899999999999999" customHeight="1">
      <c r="A3" s="1"/>
      <c r="B3" s="1"/>
      <c r="H3" s="54"/>
    </row>
    <row r="4" spans="1:23" s="5" customFormat="1" ht="34.9" customHeight="1">
      <c r="B4" s="28" t="s">
        <v>36</v>
      </c>
      <c r="H4" s="54"/>
    </row>
    <row r="5" spans="1:23" s="5" customFormat="1" ht="19.899999999999999" customHeight="1">
      <c r="B5" s="28"/>
      <c r="C5" s="192" t="s">
        <v>2</v>
      </c>
      <c r="D5" s="192"/>
      <c r="E5" s="192"/>
      <c r="F5" s="192"/>
      <c r="G5" s="192"/>
      <c r="H5" s="55"/>
      <c r="I5" s="192" t="s">
        <v>3</v>
      </c>
      <c r="J5" s="192"/>
      <c r="K5" s="192"/>
      <c r="L5" s="192"/>
      <c r="M5" s="192"/>
      <c r="N5" s="192"/>
      <c r="O5" s="192"/>
      <c r="P5" s="192"/>
      <c r="Q5" s="192"/>
      <c r="R5" s="192"/>
      <c r="S5" s="192"/>
      <c r="U5" s="192" t="s">
        <v>75</v>
      </c>
      <c r="V5" s="192"/>
      <c r="W5" s="192"/>
    </row>
    <row r="6" spans="1:23" s="29" customFormat="1" ht="10.15" customHeight="1">
      <c r="B6" s="28"/>
      <c r="C6" s="30"/>
      <c r="D6" s="30"/>
      <c r="E6" s="30"/>
      <c r="F6" s="30"/>
      <c r="G6" s="30"/>
      <c r="H6" s="56"/>
    </row>
    <row r="7" spans="1:23"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c r="Q7" s="144" t="s">
        <v>70</v>
      </c>
      <c r="R7" s="144">
        <v>44713</v>
      </c>
      <c r="S7" s="144" t="s">
        <v>73</v>
      </c>
      <c r="U7" s="144">
        <v>45078</v>
      </c>
      <c r="V7" s="144" t="s">
        <v>76</v>
      </c>
      <c r="W7" s="144">
        <v>45444</v>
      </c>
    </row>
    <row r="8" spans="1:23" s="31" customFormat="1" ht="15" customHeight="1">
      <c r="B8" s="32"/>
      <c r="C8" s="30"/>
      <c r="D8" s="30"/>
      <c r="E8" s="30"/>
      <c r="F8" s="30"/>
      <c r="G8" s="30"/>
      <c r="H8" s="59"/>
      <c r="I8" s="30"/>
      <c r="J8" s="30"/>
      <c r="K8" s="33"/>
      <c r="L8" s="30"/>
      <c r="M8" s="33"/>
      <c r="N8" s="30"/>
      <c r="O8" s="33"/>
      <c r="P8" s="30"/>
      <c r="Q8" s="33"/>
      <c r="R8" s="30"/>
      <c r="S8" s="33"/>
      <c r="U8" s="30"/>
      <c r="V8" s="30"/>
    </row>
    <row r="9" spans="1:23" s="13" customFormat="1" ht="24.95"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c r="Q9" s="162">
        <v>15835.673000000001</v>
      </c>
      <c r="R9" s="111">
        <v>13427.709000000001</v>
      </c>
      <c r="S9" s="162">
        <v>23453.717000000001</v>
      </c>
      <c r="U9" s="111">
        <v>13887.438</v>
      </c>
      <c r="V9" s="130">
        <v>13579.656000000001</v>
      </c>
      <c r="W9" s="111">
        <v>8676</v>
      </c>
    </row>
    <row r="10" spans="1:23" s="13" customFormat="1" ht="24.95"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c r="Q10" s="162">
        <v>1515.229</v>
      </c>
      <c r="R10" s="111">
        <v>1945.6610000000001</v>
      </c>
      <c r="S10" s="162">
        <v>2175.3310000000001</v>
      </c>
      <c r="U10" s="111">
        <v>2025.846</v>
      </c>
      <c r="V10" s="130">
        <v>1875.7249999999999</v>
      </c>
      <c r="W10" s="111">
        <v>1962</v>
      </c>
    </row>
    <row r="11" spans="1:23" s="13" customFormat="1" ht="24.95"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c r="Q11" s="163">
        <v>941.73299999999995</v>
      </c>
      <c r="R11" s="112">
        <v>3446.873</v>
      </c>
      <c r="S11" s="163">
        <v>5365.0230000000001</v>
      </c>
      <c r="U11" s="112">
        <v>5021.7</v>
      </c>
      <c r="V11" s="130">
        <v>3945.2779999999998</v>
      </c>
      <c r="W11" s="112">
        <v>4077</v>
      </c>
    </row>
    <row r="12" spans="1:23" s="13" customFormat="1" ht="24.95"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c r="Q12" s="162">
        <v>9438.2860000000001</v>
      </c>
      <c r="R12" s="111">
        <v>9117.3649999999998</v>
      </c>
      <c r="S12" s="162">
        <v>7322.7190000000001</v>
      </c>
      <c r="U12" s="111">
        <v>8333.6990000000005</v>
      </c>
      <c r="V12" s="130">
        <v>8928.7929999999997</v>
      </c>
      <c r="W12" s="111">
        <v>10449</v>
      </c>
    </row>
    <row r="13" spans="1:23" s="13" customFormat="1" ht="24.95"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31" t="s">
        <v>1</v>
      </c>
      <c r="P13" s="112" t="s">
        <v>1</v>
      </c>
      <c r="Q13" s="131" t="s">
        <v>1</v>
      </c>
      <c r="R13" s="112">
        <v>0</v>
      </c>
      <c r="S13" s="131" t="s">
        <v>1</v>
      </c>
      <c r="U13" s="112">
        <v>0</v>
      </c>
      <c r="V13" s="131" t="s">
        <v>1</v>
      </c>
      <c r="W13" s="112" t="s">
        <v>1</v>
      </c>
    </row>
    <row r="14" spans="1:23" s="13" customFormat="1" ht="24.95"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c r="Q14" s="162">
        <v>632.29</v>
      </c>
      <c r="R14" s="111">
        <v>591.78300000000002</v>
      </c>
      <c r="S14" s="162">
        <v>569.48900000000003</v>
      </c>
      <c r="U14" s="111">
        <v>591.34699999999998</v>
      </c>
      <c r="V14" s="130">
        <v>671.10699999999997</v>
      </c>
      <c r="W14" s="111">
        <v>986</v>
      </c>
    </row>
    <row r="15" spans="1:23" s="13" customFormat="1" ht="24.95"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c r="Q15" s="163">
        <v>15207.861999999999</v>
      </c>
      <c r="R15" s="111">
        <v>15539.88</v>
      </c>
      <c r="S15" s="163">
        <v>12044.954</v>
      </c>
      <c r="U15" s="111">
        <v>12638.044</v>
      </c>
      <c r="V15" s="131">
        <v>14030.826999999999</v>
      </c>
      <c r="W15" s="111">
        <v>14901</v>
      </c>
    </row>
    <row r="16" spans="1:23" s="13" customFormat="1" ht="24.95"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c r="Q16" s="162">
        <v>73250.953999999998</v>
      </c>
      <c r="R16" s="70">
        <v>77455.86</v>
      </c>
      <c r="S16" s="162">
        <v>81178.096000000005</v>
      </c>
      <c r="U16" s="70">
        <v>83953.995999999999</v>
      </c>
      <c r="V16" s="130">
        <v>86908.941000000006</v>
      </c>
      <c r="W16" s="70">
        <v>88598</v>
      </c>
    </row>
    <row r="17" spans="2:23" s="13" customFormat="1" ht="24.95"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c r="Q17" s="164">
        <v>621.69799999999998</v>
      </c>
      <c r="R17" s="113">
        <v>1485.848</v>
      </c>
      <c r="S17" s="164">
        <v>-4501.9960000000001</v>
      </c>
      <c r="U17" s="113">
        <v>-4242.2520000000004</v>
      </c>
      <c r="V17" s="132">
        <v>-2647.1680000000001</v>
      </c>
      <c r="W17" s="113">
        <v>-3204</v>
      </c>
    </row>
    <row r="18" spans="2:23" s="13" customFormat="1" ht="24.95" customHeight="1">
      <c r="B18" s="51" t="s">
        <v>11</v>
      </c>
      <c r="C18" s="40">
        <v>152</v>
      </c>
      <c r="D18" s="64">
        <v>142</v>
      </c>
      <c r="E18" s="69">
        <v>117</v>
      </c>
      <c r="F18" s="64">
        <v>106</v>
      </c>
      <c r="G18" s="43">
        <v>101</v>
      </c>
      <c r="H18" s="60"/>
      <c r="I18" s="127" t="s">
        <v>1</v>
      </c>
      <c r="J18" s="43" t="s">
        <v>1</v>
      </c>
      <c r="K18" s="130" t="s">
        <v>1</v>
      </c>
      <c r="L18" s="111" t="s">
        <v>1</v>
      </c>
      <c r="M18" s="130" t="s">
        <v>1</v>
      </c>
      <c r="N18" s="111">
        <v>0</v>
      </c>
      <c r="O18" s="130" t="s">
        <v>1</v>
      </c>
      <c r="P18" s="111" t="s">
        <v>1</v>
      </c>
      <c r="Q18" s="130" t="s">
        <v>1</v>
      </c>
      <c r="R18" s="111">
        <v>0</v>
      </c>
      <c r="S18" s="130" t="s">
        <v>1</v>
      </c>
      <c r="U18" s="111">
        <v>0</v>
      </c>
      <c r="V18" s="130" t="s">
        <v>1</v>
      </c>
      <c r="W18" s="111" t="s">
        <v>1</v>
      </c>
    </row>
    <row r="19" spans="2:23" s="13" customFormat="1" ht="24.95"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c r="Q19" s="164">
        <v>58775.76</v>
      </c>
      <c r="R19" s="113">
        <v>55847.425000000003</v>
      </c>
      <c r="S19" s="164">
        <v>56731.46</v>
      </c>
      <c r="U19" s="113">
        <v>59080.534</v>
      </c>
      <c r="V19" s="132">
        <v>60425.249000000003</v>
      </c>
      <c r="W19" s="113">
        <v>60900</v>
      </c>
    </row>
    <row r="20" spans="2:23" s="13" customFormat="1" ht="24.95"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c r="Q20" s="164">
        <v>1508.3338842035259</v>
      </c>
      <c r="R20" s="113">
        <v>2043.610401784865</v>
      </c>
      <c r="S20" s="164">
        <v>3300.7236974141911</v>
      </c>
      <c r="U20" s="113">
        <f>(151248+187642+177274+866235+3430+218871)/1000</f>
        <v>1604.7</v>
      </c>
      <c r="V20" s="132">
        <f>(217.365+206.54+173.674+1488.073+238.886)</f>
        <v>2324.538</v>
      </c>
      <c r="W20" s="113">
        <f>(193+243+176+1475+243)</f>
        <v>2330</v>
      </c>
    </row>
    <row r="21" spans="2:23" s="13" customFormat="1" ht="24.95"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c r="Q21" s="164">
        <v>987.09</v>
      </c>
      <c r="R21" s="113">
        <v>976.779</v>
      </c>
      <c r="S21" s="164">
        <v>1009.2809999999999</v>
      </c>
      <c r="U21" s="113">
        <f>(137905+339482+577168)/1000</f>
        <v>1054.5550000000001</v>
      </c>
      <c r="V21" s="132">
        <f>(145.933+342.235+620.315)</f>
        <v>1108.4830000000002</v>
      </c>
      <c r="W21" s="113">
        <f>(149+389+677)</f>
        <v>1215</v>
      </c>
    </row>
    <row r="22" spans="2:23" s="13" customFormat="1" ht="24.95"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c r="Q22" s="163">
        <v>566.53300000000002</v>
      </c>
      <c r="R22" s="112">
        <v>518.32100000000003</v>
      </c>
      <c r="S22" s="163">
        <v>484.61</v>
      </c>
      <c r="U22" s="112">
        <v>484.61</v>
      </c>
      <c r="V22" s="131">
        <v>473.64100000000002</v>
      </c>
      <c r="W22" s="112">
        <v>474</v>
      </c>
    </row>
    <row r="23" spans="2:23" s="13" customFormat="1" ht="24.95"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c r="Q23" s="165">
        <f>SUM(Q9:Q22)</f>
        <v>179281.44188420352</v>
      </c>
      <c r="R23" s="47">
        <f>SUM(R9:R22)</f>
        <v>182397.11440178484</v>
      </c>
      <c r="S23" s="165">
        <f>SUM(S9:S22)</f>
        <v>189133.40769741416</v>
      </c>
      <c r="U23" s="47">
        <f>SUM(U9:U22)</f>
        <v>184434.217</v>
      </c>
      <c r="V23" s="47">
        <f>SUM(V9:V22)</f>
        <v>191625.07</v>
      </c>
      <c r="W23" s="47">
        <v>191362</v>
      </c>
    </row>
    <row r="24" spans="2:23" s="37" customFormat="1" ht="19.899999999999999" customHeight="1">
      <c r="B24" s="38"/>
      <c r="C24" s="39"/>
      <c r="D24" s="39"/>
      <c r="E24" s="39"/>
      <c r="F24" s="39"/>
      <c r="G24" s="39"/>
      <c r="H24" s="62"/>
      <c r="I24" s="39"/>
      <c r="J24" s="39"/>
      <c r="K24" s="39"/>
      <c r="L24" s="39"/>
      <c r="M24" s="39"/>
      <c r="O24" s="166"/>
      <c r="Q24" s="166"/>
      <c r="S24" s="166"/>
      <c r="V24" s="39"/>
    </row>
    <row r="25" spans="2:23"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c r="Q25" s="144" t="s">
        <v>70</v>
      </c>
      <c r="R25" s="144">
        <f>+R7</f>
        <v>44713</v>
      </c>
      <c r="S25" s="144" t="s">
        <v>73</v>
      </c>
      <c r="U25" s="144">
        <v>45078</v>
      </c>
      <c r="V25" s="144" t="s">
        <v>76</v>
      </c>
      <c r="W25" s="144">
        <v>45444</v>
      </c>
    </row>
    <row r="26" spans="2:23" s="52" customFormat="1" ht="15" customHeight="1">
      <c r="B26" s="67"/>
      <c r="C26" s="68"/>
      <c r="D26" s="68"/>
      <c r="E26" s="68"/>
      <c r="F26" s="68"/>
      <c r="G26" s="68"/>
      <c r="H26" s="63"/>
      <c r="I26" s="68"/>
      <c r="J26" s="68"/>
      <c r="K26" s="68"/>
      <c r="L26" s="68"/>
      <c r="M26" s="68"/>
      <c r="O26" s="167"/>
      <c r="Q26" s="167"/>
      <c r="S26" s="167"/>
      <c r="V26" s="68"/>
    </row>
    <row r="27" spans="2:23" s="13" customFormat="1" ht="24.95"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c r="Q27" s="168">
        <v>1345.0239999999999</v>
      </c>
      <c r="R27" s="111">
        <v>1838.037</v>
      </c>
      <c r="S27" s="168">
        <v>2049.9470000000001</v>
      </c>
      <c r="U27" s="111">
        <v>2675.5880000000002</v>
      </c>
      <c r="V27" s="132">
        <v>2737.0459999999998</v>
      </c>
      <c r="W27" s="111">
        <v>2880</v>
      </c>
    </row>
    <row r="28" spans="2:23" s="13" customFormat="1" ht="24.95"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c r="Q28" s="168">
        <v>956.29100000000005</v>
      </c>
      <c r="R28" s="111">
        <v>2911.806</v>
      </c>
      <c r="S28" s="168">
        <v>4525.3779999999997</v>
      </c>
      <c r="U28" s="111">
        <v>4141.6130000000003</v>
      </c>
      <c r="V28" s="57">
        <v>3479.9490000000001</v>
      </c>
      <c r="W28" s="111">
        <v>3393</v>
      </c>
    </row>
    <row r="29" spans="2:23" s="13" customFormat="1" ht="24.95"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c r="Q29" s="169">
        <v>16438.84</v>
      </c>
      <c r="R29" s="113">
        <v>15776.492</v>
      </c>
      <c r="S29" s="169">
        <v>19843.531999999999</v>
      </c>
      <c r="U29" s="111">
        <v>23180.880000000001</v>
      </c>
      <c r="V29" s="73">
        <v>24442.681</v>
      </c>
      <c r="W29" s="111">
        <v>25633</v>
      </c>
    </row>
    <row r="30" spans="2:23" s="13" customFormat="1" ht="24.95"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c r="Q30" s="168">
        <v>14596.802</v>
      </c>
      <c r="R30" s="111">
        <v>14830.787</v>
      </c>
      <c r="S30" s="168">
        <v>14021.591</v>
      </c>
      <c r="U30" s="111">
        <v>7328.2129999999997</v>
      </c>
      <c r="V30" s="57">
        <v>6747.6270000000004</v>
      </c>
      <c r="W30" s="111">
        <v>4331</v>
      </c>
    </row>
    <row r="31" spans="2:23" s="13" customFormat="1" ht="24.95"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c r="Q31" s="170">
        <v>74571.114000000001</v>
      </c>
      <c r="R31" s="112">
        <v>75591.126999999993</v>
      </c>
      <c r="S31" s="170">
        <v>81064.164000000004</v>
      </c>
      <c r="U31" s="111">
        <v>80952.820999999996</v>
      </c>
      <c r="V31" s="58">
        <v>85080.712</v>
      </c>
      <c r="W31" s="111">
        <v>84282</v>
      </c>
    </row>
    <row r="32" spans="2:23" s="13" customFormat="1" ht="24.95"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c r="Q32" s="168">
        <v>56168.824000000001</v>
      </c>
      <c r="R32" s="111">
        <v>53673.659</v>
      </c>
      <c r="S32" s="168">
        <v>56109.540999999997</v>
      </c>
      <c r="U32" s="111">
        <v>51233.62</v>
      </c>
      <c r="V32" s="57">
        <v>52679.432999999997</v>
      </c>
      <c r="W32" s="111">
        <v>53258</v>
      </c>
    </row>
    <row r="33" spans="2:23" s="13" customFormat="1" ht="24.95"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c r="Q33" s="168">
        <v>426.79300000000001</v>
      </c>
      <c r="R33" s="111">
        <v>270.084</v>
      </c>
      <c r="S33" s="168">
        <v>299.19499999999999</v>
      </c>
      <c r="U33" s="111">
        <v>257.30500000000001</v>
      </c>
      <c r="V33" s="57">
        <v>251.41300000000001</v>
      </c>
      <c r="W33" s="111">
        <v>246</v>
      </c>
    </row>
    <row r="34" spans="2:23" s="13" customFormat="1" ht="24.95"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c r="Q34" s="170">
        <v>2473.3620000000001</v>
      </c>
      <c r="R34" s="112">
        <v>2258.5129999999999</v>
      </c>
      <c r="S34" s="170">
        <v>2182.0140000000001</v>
      </c>
      <c r="U34" s="111">
        <v>2171.623</v>
      </c>
      <c r="V34" s="58">
        <v>2271.5079999999998</v>
      </c>
      <c r="W34" s="111">
        <v>2734</v>
      </c>
    </row>
    <row r="35" spans="2:23" s="13" customFormat="1" ht="24.95"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c r="Q35" s="168">
        <v>3891.5836131999999</v>
      </c>
      <c r="R35" s="111">
        <v>6746.6409999999996</v>
      </c>
      <c r="S35" s="168">
        <v>311.61561320000004</v>
      </c>
      <c r="U35" s="111">
        <f>(-1903895+42826+274622+4532448+4686)/1000</f>
        <v>2950.6869999999999</v>
      </c>
      <c r="V35" s="57">
        <f>(-1269.242+88.212+302.7+5100.189)</f>
        <v>4221.8590000000004</v>
      </c>
      <c r="W35" s="111">
        <f>(-1396+29+312+5777)</f>
        <v>4722</v>
      </c>
    </row>
    <row r="36" spans="2:23" s="13" customFormat="1" ht="24.95"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c r="Q36" s="171">
        <v>8406.8838140126936</v>
      </c>
      <c r="R36" s="115">
        <v>8494.0825150463716</v>
      </c>
      <c r="S36" s="171">
        <v>8719.2119572983192</v>
      </c>
      <c r="U36" s="114">
        <v>9533.875</v>
      </c>
      <c r="V36" s="137">
        <v>9703.7430000000004</v>
      </c>
      <c r="W36" s="114">
        <v>9873</v>
      </c>
    </row>
    <row r="37" spans="2:23" s="13" customFormat="1" ht="24.95"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c r="Q37" s="168">
        <v>5.9239874718952494</v>
      </c>
      <c r="R37" s="111">
        <v>5.88585531955004</v>
      </c>
      <c r="S37" s="168">
        <v>7.2196573969197901</v>
      </c>
      <c r="U37" s="111">
        <v>7.992</v>
      </c>
      <c r="V37" s="134">
        <v>9.0990000000000002</v>
      </c>
      <c r="W37" s="111">
        <v>11</v>
      </c>
    </row>
    <row r="38" spans="2:23" s="13" customFormat="1" ht="24.95"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c r="Q38" s="165">
        <f>SUM(Q27:Q37)</f>
        <v>179281.44141468458</v>
      </c>
      <c r="R38" s="47">
        <f>SUM(R27:R37)</f>
        <v>182397.11437036595</v>
      </c>
      <c r="S38" s="165">
        <f>SUM(S27:S37)</f>
        <v>189133.40922789523</v>
      </c>
      <c r="U38" s="47">
        <f>SUM(U27:U37)</f>
        <v>184434.21699999998</v>
      </c>
      <c r="V38" s="47">
        <f>SUM(V27:V37)</f>
        <v>191625.06999999998</v>
      </c>
      <c r="W38" s="47">
        <v>191362</v>
      </c>
    </row>
    <row r="39" spans="2:23" s="37" customFormat="1" ht="19.899999999999999" customHeight="1">
      <c r="B39" s="99"/>
      <c r="C39" s="100"/>
      <c r="D39" s="100"/>
      <c r="E39" s="100"/>
      <c r="F39" s="100"/>
      <c r="G39" s="100"/>
      <c r="H39" s="62"/>
      <c r="I39" s="100"/>
      <c r="J39" s="100"/>
      <c r="K39" s="100"/>
      <c r="L39" s="100"/>
      <c r="M39" s="100"/>
    </row>
    <row r="40" spans="2:23">
      <c r="H40" s="66"/>
    </row>
    <row r="41" spans="2:23">
      <c r="H41" s="66"/>
    </row>
    <row r="42" spans="2:23">
      <c r="H42" s="66"/>
    </row>
    <row r="43" spans="2:23">
      <c r="H43" s="66"/>
    </row>
    <row r="47" spans="2:23">
      <c r="E47" s="35"/>
    </row>
    <row r="48" spans="2:23">
      <c r="E48" s="35"/>
    </row>
    <row r="49" spans="5:5">
      <c r="E49" s="14"/>
    </row>
    <row r="50" spans="5:5">
      <c r="E50" s="35"/>
    </row>
    <row r="51" spans="5:5">
      <c r="E51" s="35"/>
    </row>
    <row r="52" spans="5:5">
      <c r="E52" s="35"/>
    </row>
  </sheetData>
  <mergeCells count="3">
    <mergeCell ref="C5:G5"/>
    <mergeCell ref="I5:S5"/>
    <mergeCell ref="U5:W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showGridLines="0" zoomScaleNormal="100" workbookViewId="0">
      <selection activeCell="V13" sqref="V13"/>
    </sheetView>
  </sheetViews>
  <sheetFormatPr baseColWidth="10" defaultColWidth="12.5703125" defaultRowHeight="12.75" customHeight="1" zeroHeight="1"/>
  <cols>
    <col min="1" max="1" width="2.7109375" style="5" customWidth="1"/>
    <col min="2" max="2" width="51.140625" style="5" customWidth="1"/>
    <col min="3" max="9" width="8.7109375" style="5" customWidth="1"/>
    <col min="10" max="17" width="9" style="5" customWidth="1"/>
    <col min="18" max="20" width="8.85546875" style="5" customWidth="1"/>
    <col min="21" max="21" width="11.85546875" style="5" customWidth="1"/>
    <col min="22" max="16384" width="12.5703125" style="5"/>
  </cols>
  <sheetData>
    <row r="1" spans="1:20" ht="19.899999999999999" customHeight="1">
      <c r="A1" s="1"/>
      <c r="B1" s="1"/>
      <c r="C1" s="1"/>
    </row>
    <row r="2" spans="1:20" ht="19.899999999999999" customHeight="1">
      <c r="A2" s="1"/>
      <c r="B2" s="1"/>
      <c r="C2" s="1"/>
    </row>
    <row r="3" spans="1:20" ht="19.899999999999999" customHeight="1">
      <c r="A3" s="1"/>
      <c r="B3" s="1"/>
      <c r="C3" s="1"/>
    </row>
    <row r="4" spans="1:20" ht="35.1" customHeight="1">
      <c r="B4" s="193" t="s">
        <v>55</v>
      </c>
      <c r="C4" s="193"/>
      <c r="D4" s="194"/>
    </row>
    <row r="5" spans="1:20"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c r="O5" s="144" t="s">
        <v>70</v>
      </c>
      <c r="P5" s="144">
        <v>44713</v>
      </c>
      <c r="Q5" s="144" t="s">
        <v>73</v>
      </c>
      <c r="R5" s="144">
        <v>45078</v>
      </c>
      <c r="S5" s="144" t="s">
        <v>76</v>
      </c>
      <c r="T5" s="181">
        <v>45444</v>
      </c>
    </row>
    <row r="6" spans="1:20" s="29" customFormat="1" ht="15" customHeight="1">
      <c r="A6" s="106"/>
      <c r="B6" s="107"/>
      <c r="C6" s="108"/>
      <c r="D6" s="108"/>
      <c r="E6" s="108"/>
      <c r="F6" s="108"/>
      <c r="G6" s="108"/>
      <c r="H6" s="108"/>
      <c r="I6" s="108"/>
      <c r="J6" s="108"/>
      <c r="K6" s="108"/>
      <c r="L6" s="108"/>
      <c r="M6" s="108"/>
      <c r="O6" s="108"/>
      <c r="Q6" s="108"/>
      <c r="S6" s="108"/>
      <c r="T6" s="108"/>
    </row>
    <row r="7" spans="1:20" ht="24.95" customHeight="1">
      <c r="B7" s="91" t="s">
        <v>37</v>
      </c>
      <c r="C7" s="92"/>
      <c r="D7" s="93"/>
      <c r="E7" s="93"/>
      <c r="F7" s="93"/>
      <c r="G7" s="93"/>
      <c r="H7" s="93"/>
      <c r="I7" s="93"/>
      <c r="J7" s="93"/>
      <c r="K7" s="93"/>
      <c r="L7" s="93"/>
      <c r="M7" s="93"/>
      <c r="N7" s="93"/>
      <c r="O7" s="93"/>
      <c r="P7" s="93"/>
      <c r="Q7" s="93"/>
      <c r="R7" s="93"/>
      <c r="S7" s="93"/>
      <c r="T7" s="93"/>
    </row>
    <row r="8" spans="1:20" ht="24.95"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c r="O8" s="138">
        <v>7319</v>
      </c>
      <c r="P8" s="21">
        <v>7231</v>
      </c>
      <c r="Q8" s="138">
        <v>7508</v>
      </c>
      <c r="R8" s="21">
        <v>8342</v>
      </c>
      <c r="S8" s="138">
        <v>8400</v>
      </c>
      <c r="T8" s="21">
        <v>8636</v>
      </c>
    </row>
    <row r="9" spans="1:20" ht="24.95" customHeight="1">
      <c r="B9" s="22" t="s">
        <v>43</v>
      </c>
      <c r="C9" s="139">
        <v>4689</v>
      </c>
      <c r="D9" s="23">
        <v>4796</v>
      </c>
      <c r="E9" s="139">
        <v>4850</v>
      </c>
      <c r="F9" s="23">
        <v>5196</v>
      </c>
      <c r="G9" s="139">
        <f>G8</f>
        <v>5294</v>
      </c>
      <c r="H9" s="23">
        <v>5590</v>
      </c>
      <c r="I9" s="139">
        <v>5594</v>
      </c>
      <c r="J9" s="24">
        <v>5988</v>
      </c>
      <c r="K9" s="139">
        <v>6164</v>
      </c>
      <c r="L9" s="24">
        <v>6437</v>
      </c>
      <c r="M9" s="139">
        <v>6744</v>
      </c>
      <c r="N9" s="24">
        <v>7074</v>
      </c>
      <c r="O9" s="139">
        <v>7308</v>
      </c>
      <c r="P9" s="24">
        <v>7231</v>
      </c>
      <c r="Q9" s="139">
        <v>7508</v>
      </c>
      <c r="R9" s="24">
        <v>8342</v>
      </c>
      <c r="S9" s="139">
        <v>8400</v>
      </c>
      <c r="T9" s="24">
        <v>8636</v>
      </c>
    </row>
    <row r="10" spans="1:20" ht="24.95"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c r="O10" s="139">
        <v>1789</v>
      </c>
      <c r="P10" s="24">
        <v>1706</v>
      </c>
      <c r="Q10" s="139">
        <v>1656</v>
      </c>
      <c r="R10" s="24">
        <f>R11-R8</f>
        <v>1614</v>
      </c>
      <c r="S10" s="139">
        <f>S11-S8</f>
        <v>1566</v>
      </c>
      <c r="T10" s="24">
        <f>T11-T8</f>
        <v>1987</v>
      </c>
    </row>
    <row r="11" spans="1:20" ht="24.95"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c r="O11" s="139">
        <v>9108</v>
      </c>
      <c r="P11" s="24">
        <v>8937</v>
      </c>
      <c r="Q11" s="139">
        <v>9164</v>
      </c>
      <c r="R11" s="24">
        <v>9956</v>
      </c>
      <c r="S11" s="139">
        <v>9966</v>
      </c>
      <c r="T11" s="24">
        <v>10623</v>
      </c>
    </row>
    <row r="12" spans="1:20" ht="24.95"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c r="O12" s="140">
        <v>43077</v>
      </c>
      <c r="P12" s="98">
        <v>43924</v>
      </c>
      <c r="Q12" s="140">
        <v>44545</v>
      </c>
      <c r="R12" s="98">
        <v>48474</v>
      </c>
      <c r="S12" s="140">
        <v>49736</v>
      </c>
      <c r="T12" s="98">
        <v>51555</v>
      </c>
    </row>
    <row r="13" spans="1:20" s="29" customFormat="1" ht="15" customHeight="1">
      <c r="B13" s="86"/>
      <c r="C13" s="87"/>
      <c r="D13" s="109"/>
      <c r="E13" s="87"/>
      <c r="F13" s="110"/>
      <c r="G13" s="87"/>
      <c r="H13" s="87"/>
      <c r="I13" s="87"/>
      <c r="J13" s="87"/>
      <c r="K13" s="87"/>
      <c r="L13" s="87"/>
      <c r="M13" s="87"/>
      <c r="N13" s="87"/>
      <c r="O13" s="87"/>
      <c r="P13" s="87"/>
      <c r="Q13" s="87"/>
      <c r="R13" s="87"/>
      <c r="S13" s="87"/>
      <c r="T13" s="87"/>
    </row>
    <row r="14" spans="1:20" ht="24.95" customHeight="1">
      <c r="B14" s="91" t="s">
        <v>42</v>
      </c>
      <c r="C14" s="94"/>
      <c r="D14" s="95"/>
      <c r="E14" s="96"/>
      <c r="F14" s="95"/>
      <c r="G14" s="96"/>
      <c r="H14" s="95"/>
      <c r="I14" s="96"/>
      <c r="J14" s="96"/>
      <c r="K14" s="96"/>
      <c r="L14" s="96"/>
      <c r="M14" s="96"/>
      <c r="N14" s="96"/>
      <c r="O14" s="96"/>
      <c r="P14" s="96"/>
      <c r="Q14" s="96"/>
      <c r="R14" s="96"/>
      <c r="S14" s="96"/>
      <c r="T14" s="96"/>
    </row>
    <row r="15" spans="1:20" ht="24.95"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c r="O15" s="141">
        <v>0.17</v>
      </c>
      <c r="P15" s="26">
        <f>P9/P12</f>
        <v>0.16462526181586376</v>
      </c>
      <c r="Q15" s="141">
        <f>Q9/Q12</f>
        <v>0.16854865865978225</v>
      </c>
      <c r="R15" s="26">
        <f>R9/R12</f>
        <v>0.17209225564219993</v>
      </c>
      <c r="S15" s="141">
        <f>S9/S12</f>
        <v>0.16889174843171947</v>
      </c>
      <c r="T15" s="26">
        <f>T9/T12</f>
        <v>0.16751042575889827</v>
      </c>
    </row>
    <row r="16" spans="1:20" ht="24.95"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c r="O16" s="141">
        <v>0.16990505374097548</v>
      </c>
      <c r="P16" s="26">
        <f>P8/P12</f>
        <v>0.16462526181586376</v>
      </c>
      <c r="Q16" s="141">
        <f>Q8/Q12</f>
        <v>0.16854865865978225</v>
      </c>
      <c r="R16" s="26">
        <f>R8/R12</f>
        <v>0.17209225564219993</v>
      </c>
      <c r="S16" s="141">
        <f>S8/S12</f>
        <v>0.16889174843171947</v>
      </c>
      <c r="T16" s="26">
        <f t="shared" ref="T16" si="2">T8/T12</f>
        <v>0.16751042575889827</v>
      </c>
    </row>
    <row r="17" spans="2:20" ht="24.95" customHeight="1">
      <c r="B17" s="18" t="s">
        <v>40</v>
      </c>
      <c r="C17" s="142">
        <f t="shared" ref="C17:K17" si="3">C11/C12</f>
        <v>0.16107865481860936</v>
      </c>
      <c r="D17" s="27">
        <f t="shared" si="3"/>
        <v>0.16897041145275277</v>
      </c>
      <c r="E17" s="142">
        <f t="shared" si="3"/>
        <v>0.16544019015760361</v>
      </c>
      <c r="F17" s="27">
        <f t="shared" si="3"/>
        <v>0.19599806507568998</v>
      </c>
      <c r="G17" s="142">
        <f t="shared" si="3"/>
        <v>0.21475821684562896</v>
      </c>
      <c r="H17" s="27">
        <f t="shared" si="3"/>
        <v>0.20777358351242312</v>
      </c>
      <c r="I17" s="142">
        <f t="shared" si="3"/>
        <v>0.19759714130934544</v>
      </c>
      <c r="J17" s="27">
        <f t="shared" si="3"/>
        <v>0.22056195247722013</v>
      </c>
      <c r="K17" s="142">
        <f t="shared" si="3"/>
        <v>0.21404264369649598</v>
      </c>
      <c r="L17" s="27">
        <f>L11/L12</f>
        <v>0.21689289529218664</v>
      </c>
      <c r="M17" s="142">
        <v>0.216</v>
      </c>
      <c r="N17" s="27">
        <f>N11/N12</f>
        <v>0.21589891312241291</v>
      </c>
      <c r="O17" s="142">
        <v>0.211435336722613</v>
      </c>
      <c r="P17" s="27">
        <f>P11/P12</f>
        <v>0.20346507604043348</v>
      </c>
      <c r="Q17" s="142">
        <f>Q11/Q12</f>
        <v>0.20572454820967562</v>
      </c>
      <c r="R17" s="27">
        <f>R11/R12</f>
        <v>0.20538845566695549</v>
      </c>
      <c r="S17" s="142">
        <f>S11/S12</f>
        <v>0.2003779958179186</v>
      </c>
      <c r="T17" s="27">
        <f t="shared" ref="T17" si="4">T11/T12</f>
        <v>0.20605178935117835</v>
      </c>
    </row>
    <row r="18" spans="2:20" s="29" customFormat="1" ht="15" customHeight="1">
      <c r="B18" s="86"/>
      <c r="C18" s="87"/>
      <c r="D18" s="87"/>
      <c r="E18" s="87"/>
      <c r="F18" s="87"/>
      <c r="G18" s="87"/>
      <c r="H18" s="87"/>
      <c r="I18" s="87"/>
      <c r="J18" s="87"/>
      <c r="K18" s="87"/>
      <c r="L18" s="87"/>
      <c r="M18" s="87"/>
      <c r="N18" s="87"/>
      <c r="O18" s="87"/>
      <c r="P18" s="87"/>
      <c r="Q18" s="87"/>
      <c r="R18" s="87"/>
      <c r="S18" s="87"/>
      <c r="T18" s="87"/>
    </row>
    <row r="19" spans="2:20" ht="24.95" customHeight="1">
      <c r="B19" s="91" t="s">
        <v>57</v>
      </c>
      <c r="C19" s="94"/>
      <c r="D19" s="95"/>
      <c r="E19" s="96"/>
      <c r="F19" s="95"/>
      <c r="G19" s="96"/>
      <c r="H19" s="95"/>
      <c r="I19" s="96"/>
      <c r="J19" s="96"/>
      <c r="K19" s="96"/>
      <c r="L19" s="96"/>
      <c r="M19" s="96"/>
      <c r="N19" s="96"/>
      <c r="O19" s="96"/>
      <c r="P19" s="96"/>
      <c r="Q19" s="96"/>
      <c r="R19" s="96"/>
      <c r="S19" s="96"/>
      <c r="T19" s="96"/>
    </row>
    <row r="20" spans="2:20" ht="24.95"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c r="O20" s="141">
        <v>7.1999999999999995E-2</v>
      </c>
      <c r="P20" s="26">
        <v>6.3E-2</v>
      </c>
      <c r="Q20" s="141">
        <v>5.8999999999999997E-2</v>
      </c>
      <c r="R20" s="26">
        <v>6.8000000000000005E-2</v>
      </c>
      <c r="S20" s="141">
        <v>6.5000000000000002E-2</v>
      </c>
      <c r="T20" s="26">
        <v>6.8000000000000005E-2</v>
      </c>
    </row>
    <row r="21" spans="2:20" ht="12.75" customHeight="1">
      <c r="B21" s="12"/>
      <c r="C21" s="12"/>
      <c r="D21" s="11"/>
      <c r="E21" s="11"/>
      <c r="F21" s="11"/>
      <c r="G21" s="11"/>
      <c r="H21" s="11"/>
      <c r="I21" s="11"/>
      <c r="J21" s="11"/>
      <c r="K21" s="11"/>
    </row>
    <row r="22" spans="2:20" s="105" customFormat="1" ht="73.5" customHeight="1">
      <c r="B22" s="195" t="s">
        <v>69</v>
      </c>
      <c r="C22" s="195"/>
      <c r="D22" s="195"/>
      <c r="E22" s="195"/>
      <c r="F22" s="195"/>
      <c r="G22" s="195"/>
      <c r="H22" s="195"/>
      <c r="I22" s="195"/>
      <c r="J22" s="195"/>
      <c r="K22" s="195"/>
      <c r="L22" s="195"/>
      <c r="M22" s="195"/>
      <c r="N22" s="195"/>
    </row>
    <row r="23" spans="2:20" ht="12.75" customHeight="1">
      <c r="B23" s="195"/>
      <c r="C23" s="195"/>
      <c r="D23" s="195"/>
      <c r="E23" s="195"/>
      <c r="F23" s="195"/>
      <c r="G23" s="195"/>
      <c r="H23" s="195"/>
      <c r="I23" s="195"/>
      <c r="J23" s="195"/>
    </row>
    <row r="24" spans="2:20" ht="12.75" customHeight="1"/>
    <row r="25" spans="2:20" ht="12.75" customHeight="1"/>
    <row r="26" spans="2:20" ht="12.75" customHeight="1"/>
    <row r="27" spans="2:20" ht="12.75" customHeight="1"/>
    <row r="28" spans="2:20" ht="12.75" customHeight="1"/>
    <row r="29" spans="2:20" ht="12.75" customHeight="1"/>
    <row r="30" spans="2:20" ht="12.75" customHeight="1"/>
    <row r="31" spans="2:20" ht="12.75" customHeight="1"/>
    <row r="32" spans="2:2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FLOCHLAY MARINA</cp:lastModifiedBy>
  <cp:lastPrinted>2021-02-18T20:37:40Z</cp:lastPrinted>
  <dcterms:created xsi:type="dcterms:W3CDTF">2019-07-16T13:32:44Z</dcterms:created>
  <dcterms:modified xsi:type="dcterms:W3CDTF">2025-02-04T17:26:44Z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