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15" windowWidth="27900" windowHeight="6690" activeTab="3"/>
  </bookViews>
  <sheets>
    <sheet name="Intro - Disclaimer" sheetId="7" r:id="rId1"/>
    <sheet name="CM Arkéa - Income statement" sheetId="9" r:id="rId2"/>
    <sheet name="CM Arkéa - Balance Sheet" sheetId="8" r:id="rId3"/>
    <sheet name="CM Arkéa - Capital" sheetId="5" r:id="rId4"/>
  </sheets>
  <externalReferences>
    <externalReference r:id="rId5"/>
  </externalReference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45621"/>
</workbook>
</file>

<file path=xl/calcChain.xml><?xml version="1.0" encoding="utf-8"?>
<calcChain xmlns="http://schemas.openxmlformats.org/spreadsheetml/2006/main">
  <c r="U20" i="5" l="1"/>
  <c r="U12" i="5"/>
  <c r="U15" i="5" s="1"/>
  <c r="U11" i="5"/>
  <c r="U9" i="5"/>
  <c r="U8" i="5"/>
  <c r="U16" i="5" s="1"/>
  <c r="X38" i="8"/>
  <c r="X37" i="8"/>
  <c r="X36" i="8"/>
  <c r="X35" i="8"/>
  <c r="X34" i="8"/>
  <c r="X33" i="8"/>
  <c r="X32" i="8"/>
  <c r="X31" i="8"/>
  <c r="X30" i="8"/>
  <c r="X29" i="8"/>
  <c r="X28" i="8"/>
  <c r="X27" i="8"/>
  <c r="X23" i="8"/>
  <c r="X22" i="8"/>
  <c r="X21" i="8"/>
  <c r="X20" i="8"/>
  <c r="X19" i="8"/>
  <c r="X18" i="8"/>
  <c r="X17" i="8"/>
  <c r="X16" i="8"/>
  <c r="X15" i="8"/>
  <c r="X14" i="8"/>
  <c r="X13" i="8"/>
  <c r="X12" i="8"/>
  <c r="X11" i="8"/>
  <c r="X10" i="8"/>
  <c r="X9" i="8"/>
  <c r="W16" i="9"/>
  <c r="W10" i="9"/>
  <c r="W7" i="9"/>
  <c r="U20" i="9"/>
  <c r="U18" i="9"/>
  <c r="W18" i="9" s="1"/>
  <c r="U17" i="9"/>
  <c r="W17" i="9" s="1"/>
  <c r="U16" i="9"/>
  <c r="U15" i="9"/>
  <c r="U14" i="9"/>
  <c r="U13" i="9"/>
  <c r="U12" i="9"/>
  <c r="W12" i="9" s="1"/>
  <c r="U11" i="9"/>
  <c r="W11" i="9" s="1"/>
  <c r="U10" i="9"/>
  <c r="U9" i="9"/>
  <c r="W9" i="9" s="1"/>
  <c r="U8" i="9"/>
  <c r="W8" i="9" s="1"/>
  <c r="U7" i="9"/>
  <c r="U17" i="5" l="1"/>
  <c r="U10" i="5"/>
  <c r="T7" i="9"/>
  <c r="T17" i="5" l="1"/>
  <c r="T16" i="5"/>
  <c r="T15" i="5"/>
  <c r="T10" i="5"/>
  <c r="W35" i="8"/>
  <c r="W21" i="8"/>
  <c r="W20" i="8"/>
  <c r="T20" i="9"/>
  <c r="S17" i="5" l="1"/>
  <c r="R17" i="5"/>
  <c r="S16" i="5"/>
  <c r="R16" i="5"/>
  <c r="S15" i="5"/>
  <c r="R15" i="5"/>
  <c r="S10" i="5"/>
  <c r="R10" i="5"/>
  <c r="U38" i="8"/>
  <c r="V35" i="8"/>
  <c r="V38" i="8" s="1"/>
  <c r="U35" i="8"/>
  <c r="V21" i="8"/>
  <c r="U21" i="8"/>
  <c r="U23" i="8" s="1"/>
  <c r="V20" i="8"/>
  <c r="V23" i="8" s="1"/>
  <c r="U20" i="8"/>
  <c r="Q15" i="5" l="1"/>
  <c r="Q16" i="5"/>
  <c r="Q17" i="5"/>
  <c r="Q20" i="9" l="1"/>
  <c r="S38" i="8"/>
  <c r="S23" i="8"/>
  <c r="R38" i="8" l="1"/>
  <c r="R25" i="8"/>
  <c r="R23" i="8" l="1"/>
  <c r="P16" i="5"/>
  <c r="P15" i="5"/>
  <c r="P17" i="5"/>
  <c r="Q38" i="8"/>
  <c r="Q23" i="8"/>
  <c r="O20" i="9"/>
  <c r="N20" i="9" l="1"/>
  <c r="N10" i="9"/>
  <c r="N12" i="9" s="1"/>
  <c r="N17" i="9" s="1"/>
  <c r="P38" i="8"/>
  <c r="P23" i="8"/>
  <c r="N17" i="5"/>
  <c r="N15" i="5"/>
  <c r="N8" i="5"/>
  <c r="N16" i="5" s="1"/>
  <c r="O35" i="8" l="1"/>
  <c r="O38" i="8" s="1"/>
  <c r="O21" i="8"/>
  <c r="O23" i="8" s="1"/>
  <c r="O20" i="8"/>
  <c r="M20"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<sst xmlns="http://schemas.openxmlformats.org/spreadsheetml/2006/main" count="135" uniqueCount="81">
  <si>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</si>
  <si>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</si>
  <si>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</si>
  <si>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</si>
  <si>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</si>
  <si>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</si>
  <si>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</si>
  <si>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</si>
  <si>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</si>
  <si>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</si>
  <si>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</si>
  <si>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</si>
  <si>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</si>
  <si>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</si>
  <si>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</si>
  <si>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</si>
  <si>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</si>
  <si>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</si>
  <si>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</si>
  <si>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</si>
  <si>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</si>
  <si>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</si>
  <si>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</si>
  <si>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</si>
  <si>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</si>
  <si>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</si>
  <si>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</si>
  <si>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</si>
  <si>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</si>
  <si>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</si>
  <si>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</si>
  <si>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</si>
  <si>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</si>
  <si>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</si>
  <si>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</si>
  <si>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</si>
  <si>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</si>
  <si>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</si>
  <si>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</si>
  <si>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</si>
  <si>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</si>
  <si>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</si>
  <si>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SOLVENCY RATIOS *</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</si>
  <si>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</si>
  <si>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</si>
  <si>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</si>
  <si>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</si>
  <si>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</si>
  <si>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</si>
  <si>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</si>
  <si>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</si>
  <si>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</si>
  <si>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</si>
  <si>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</si>
  <si>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</si>
  <si>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</si>
  <si>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</si>
  <si>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LEVERAGE RATIOS *</t>
  </si>
  <si>
    <t>1H2017</t>
  </si>
  <si>
    <t>1H2018</t>
  </si>
  <si>
    <t>1H2016</t>
  </si>
  <si>
    <t>1H2019</t>
  </si>
  <si>
    <t>Dec-19</t>
  </si>
  <si>
    <t>Revenues*</t>
  </si>
  <si>
    <t>1H2020</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</si>
  <si>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of 2019 and 2020,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</si>
  <si>
    <t>Dec-20</t>
  </si>
  <si>
    <t>1H2021</t>
  </si>
  <si>
    <t>ns</t>
  </si>
  <si>
    <t>* Solvency ratios at end-June including the half year result without IPC (until June 2020) and for leverage ratios, taking into account the delegated act with the provisions applicable ex officio (mainly excluding the assets of insurance subsidiaries) and without the provisions subject to prior agreement (intra-group and centralized savings).
In the context of CRR2, banks may exclude certain Central Bank exposures from total leverage ratio exposures when justified by exceptional macro-economic circumstances. When taking advantage of this exemption, institutions must comply with an adjusted leverage ratio requirement, higher than 3%. On 18th June 2021, the European Central Bank stated that credit institutions under supervision may use this exclusion opportunity considering the exceptional circumstances subsisting since 31st December 2019;  this measure being valid until 31st March 2022. Crédit Mutuel Arkéa is making use of this provision and must consequently comply with a leverage ratio requirement of 3.11% during the period.</t>
  </si>
  <si>
    <t>Dec-21</t>
  </si>
  <si>
    <t xml:space="preserve">* Revenues for 2019, 2020 and 2021 correspond to the net banking and insurance income including gains on disposal or dilution in investments in associates. Revenues for other years correspond to the net banking and insurance income. </t>
  </si>
  <si>
    <t>1H2022</t>
  </si>
  <si>
    <t>Dec-22</t>
  </si>
  <si>
    <t>1H2023</t>
  </si>
  <si>
    <t>IFRS 17</t>
  </si>
  <si>
    <t>Dec-23</t>
  </si>
  <si>
    <t>1H2024</t>
  </si>
  <si>
    <t>2024 / 2023</t>
  </si>
  <si>
    <t>- 3,1 pts</t>
  </si>
  <si>
    <t>Dec-24</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</si>
</sst>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97">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17" fontId="9" fillId="3" borderId="0" xfId="2" applyNumberFormat="1" applyFont="1" applyFill="1" applyAlignment="1">
      <alignment horizontal="center" vertical="center"/>
    </xf>
    <xf numFmtId="0" fontId="261" fillId="0" borderId="0" xfId="2" applyFont="1" applyFill="1" applyAlignment="1">
      <alignment horizontal="left"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233;dit%20Mutuel%20Ark&#233;a_series_semestrielles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 Avertissement"/>
      <sheetName val="CM Arkéa - Compte de résultat"/>
      <sheetName val="CM Arkéa - Bilan"/>
      <sheetName val="CM Arkéa - Capital"/>
    </sheetNames>
    <sheetDataSet>
      <sheetData sheetId="0"/>
      <sheetData sheetId="1">
        <row r="7">
          <cell r="U7">
            <v>2183.5250000000001</v>
          </cell>
        </row>
        <row r="8">
          <cell r="U8">
            <v>-1416.78</v>
          </cell>
        </row>
        <row r="9">
          <cell r="U9">
            <v>-84.790999999999997</v>
          </cell>
        </row>
        <row r="10">
          <cell r="U10">
            <v>681.95400000000018</v>
          </cell>
        </row>
        <row r="11">
          <cell r="U11">
            <v>-179.89500000000001</v>
          </cell>
        </row>
        <row r="12">
          <cell r="U12">
            <v>502.06400000000002</v>
          </cell>
        </row>
        <row r="13">
          <cell r="U13">
            <v>9.9317700000000002</v>
          </cell>
        </row>
        <row r="14">
          <cell r="U14">
            <v>-1.0840000000000001</v>
          </cell>
        </row>
        <row r="15">
          <cell r="U15">
            <v>-11</v>
          </cell>
        </row>
        <row r="16">
          <cell r="U16">
            <v>-100.372</v>
          </cell>
        </row>
        <row r="17">
          <cell r="U17">
            <v>399.53976999999998</v>
          </cell>
        </row>
        <row r="18">
          <cell r="U18">
            <v>395.15429999999998</v>
          </cell>
        </row>
        <row r="20">
          <cell r="U20">
            <v>0.68768207371108636</v>
          </cell>
        </row>
      </sheetData>
      <sheetData sheetId="2">
        <row r="9">
          <cell r="X9">
            <v>10232.249</v>
          </cell>
        </row>
        <row r="10">
          <cell r="X10">
            <v>1896.5889999999999</v>
          </cell>
        </row>
        <row r="11">
          <cell r="X11">
            <v>3292.6419999999998</v>
          </cell>
        </row>
        <row r="12">
          <cell r="X12">
            <v>11647.947</v>
          </cell>
        </row>
        <row r="13">
          <cell r="X13" t="str">
            <v>-</v>
          </cell>
        </row>
        <row r="14">
          <cell r="X14">
            <v>1548.4580000000001</v>
          </cell>
        </row>
        <row r="15">
          <cell r="X15">
            <v>14201.191000000001</v>
          </cell>
        </row>
        <row r="16">
          <cell r="X16">
            <v>90382.061000000002</v>
          </cell>
        </row>
        <row r="17">
          <cell r="X17">
            <v>-1760.9739999999999</v>
          </cell>
        </row>
        <row r="18">
          <cell r="X18" t="str">
            <v>-</v>
          </cell>
        </row>
        <row r="19">
          <cell r="X19">
            <v>63416.974000000002</v>
          </cell>
        </row>
        <row r="20">
          <cell r="X20">
            <v>1826.43</v>
          </cell>
        </row>
        <row r="21">
          <cell r="X21">
            <v>1283.1300000000001</v>
          </cell>
        </row>
        <row r="22">
          <cell r="X22">
            <v>462.64100000000002</v>
          </cell>
        </row>
        <row r="23">
          <cell r="X23">
            <v>198429.33799999999</v>
          </cell>
        </row>
        <row r="27">
          <cell r="X27">
            <v>2768.7559999999999</v>
          </cell>
        </row>
        <row r="28">
          <cell r="X28">
            <v>3065.5740000000001</v>
          </cell>
        </row>
        <row r="29">
          <cell r="X29">
            <v>25943.39</v>
          </cell>
        </row>
        <row r="30">
          <cell r="X30">
            <v>4309.3609999999999</v>
          </cell>
        </row>
        <row r="31">
          <cell r="X31">
            <v>89241.296000000002</v>
          </cell>
        </row>
        <row r="32">
          <cell r="X32">
            <v>55000.603999999999</v>
          </cell>
        </row>
        <row r="33">
          <cell r="X33">
            <v>259.255</v>
          </cell>
        </row>
        <row r="34">
          <cell r="X34">
            <v>2342.6619999999998</v>
          </cell>
        </row>
        <row r="35">
          <cell r="X35">
            <v>5567.27</v>
          </cell>
        </row>
        <row r="36">
          <cell r="X36">
            <v>9917.7610999999997</v>
          </cell>
        </row>
        <row r="37">
          <cell r="X37">
            <v>13.414</v>
          </cell>
        </row>
        <row r="38">
          <cell r="X38">
            <v>198429.3431</v>
          </cell>
        </row>
      </sheetData>
      <sheetData sheetId="3">
        <row r="8">
          <cell r="U8">
            <v>8551.4930000000004</v>
          </cell>
        </row>
        <row r="9">
          <cell r="U9">
            <v>8551.4930000000004</v>
          </cell>
        </row>
        <row r="11">
          <cell r="U11">
            <v>9942</v>
          </cell>
        </row>
        <row r="12">
          <cell r="U12">
            <v>50871</v>
          </cell>
        </row>
        <row r="20">
          <cell r="U20">
            <v>6.4000000000000001E-2</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Normal="100" workbookViewId="0">
      <selection activeCell="D4" sqref="D4"/>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83" t="s">
        <v>65</v>
      </c>
      <c r="C5" s="184"/>
      <c r="D5" s="184"/>
      <c r="E5" s="184"/>
      <c r="F5" s="184"/>
      <c r="G5" s="184"/>
      <c r="H5" s="184"/>
      <c r="I5" s="184"/>
      <c r="J5" s="184"/>
      <c r="K5" s="184"/>
      <c r="L5" s="184"/>
      <c r="M5" s="185"/>
    </row>
    <row r="6" spans="1:13" ht="19.899999999999999" customHeight="1">
      <c r="B6" s="186"/>
      <c r="C6" s="187"/>
      <c r="D6" s="187"/>
      <c r="E6" s="187"/>
      <c r="F6" s="187"/>
      <c r="G6" s="187"/>
      <c r="H6" s="187"/>
      <c r="I6" s="187"/>
      <c r="J6" s="187"/>
      <c r="K6" s="187"/>
      <c r="L6" s="187"/>
      <c r="M6" s="188"/>
    </row>
    <row r="7" spans="1:13" ht="19.899999999999999" customHeight="1">
      <c r="B7" s="186"/>
      <c r="C7" s="187"/>
      <c r="D7" s="187"/>
      <c r="E7" s="187"/>
      <c r="F7" s="187"/>
      <c r="G7" s="187"/>
      <c r="H7" s="187"/>
      <c r="I7" s="187"/>
      <c r="J7" s="187"/>
      <c r="K7" s="187"/>
      <c r="L7" s="187"/>
      <c r="M7" s="188"/>
    </row>
    <row r="8" spans="1:13" ht="19.899999999999999" customHeight="1">
      <c r="B8" s="186"/>
      <c r="C8" s="187"/>
      <c r="D8" s="187"/>
      <c r="E8" s="187"/>
      <c r="F8" s="187"/>
      <c r="G8" s="187"/>
      <c r="H8" s="187"/>
      <c r="I8" s="187"/>
      <c r="J8" s="187"/>
      <c r="K8" s="187"/>
      <c r="L8" s="187"/>
      <c r="M8" s="188"/>
    </row>
    <row r="9" spans="1:13" ht="19.899999999999999" customHeight="1">
      <c r="B9" s="186"/>
      <c r="C9" s="187"/>
      <c r="D9" s="187"/>
      <c r="E9" s="187"/>
      <c r="F9" s="187"/>
      <c r="G9" s="187"/>
      <c r="H9" s="187"/>
      <c r="I9" s="187"/>
      <c r="J9" s="187"/>
      <c r="K9" s="187"/>
      <c r="L9" s="187"/>
      <c r="M9" s="188"/>
    </row>
    <row r="10" spans="1:13" ht="19.899999999999999" customHeight="1">
      <c r="B10" s="186"/>
      <c r="C10" s="187"/>
      <c r="D10" s="187"/>
      <c r="E10" s="187"/>
      <c r="F10" s="187"/>
      <c r="G10" s="187"/>
      <c r="H10" s="187"/>
      <c r="I10" s="187"/>
      <c r="J10" s="187"/>
      <c r="K10" s="187"/>
      <c r="L10" s="187"/>
      <c r="M10" s="188"/>
    </row>
    <row r="11" spans="1:13" ht="19.899999999999999" customHeight="1">
      <c r="B11" s="186"/>
      <c r="C11" s="187"/>
      <c r="D11" s="187"/>
      <c r="E11" s="187"/>
      <c r="F11" s="187"/>
      <c r="G11" s="187"/>
      <c r="H11" s="187"/>
      <c r="I11" s="187"/>
      <c r="J11" s="187"/>
      <c r="K11" s="187"/>
      <c r="L11" s="187"/>
      <c r="M11" s="188"/>
    </row>
    <row r="12" spans="1:13" ht="19.899999999999999" customHeight="1">
      <c r="B12" s="186"/>
      <c r="C12" s="187"/>
      <c r="D12" s="187"/>
      <c r="E12" s="187"/>
      <c r="F12" s="187"/>
      <c r="G12" s="187"/>
      <c r="H12" s="187"/>
      <c r="I12" s="187"/>
      <c r="J12" s="187"/>
      <c r="K12" s="187"/>
      <c r="L12" s="187"/>
      <c r="M12" s="188"/>
    </row>
    <row r="13" spans="1:13" ht="19.899999999999999" customHeight="1">
      <c r="B13" s="186"/>
      <c r="C13" s="187"/>
      <c r="D13" s="187"/>
      <c r="E13" s="187"/>
      <c r="F13" s="187"/>
      <c r="G13" s="187"/>
      <c r="H13" s="187"/>
      <c r="I13" s="187"/>
      <c r="J13" s="187"/>
      <c r="K13" s="187"/>
      <c r="L13" s="187"/>
      <c r="M13" s="188"/>
    </row>
    <row r="14" spans="1:13" ht="19.899999999999999" customHeight="1">
      <c r="B14" s="186"/>
      <c r="C14" s="187"/>
      <c r="D14" s="187"/>
      <c r="E14" s="187"/>
      <c r="F14" s="187"/>
      <c r="G14" s="187"/>
      <c r="H14" s="187"/>
      <c r="I14" s="187"/>
      <c r="J14" s="187"/>
      <c r="K14" s="187"/>
      <c r="L14" s="187"/>
      <c r="M14" s="188"/>
    </row>
    <row r="15" spans="1:13" ht="19.899999999999999" customHeight="1">
      <c r="B15" s="186"/>
      <c r="C15" s="187"/>
      <c r="D15" s="187"/>
      <c r="E15" s="187"/>
      <c r="F15" s="187"/>
      <c r="G15" s="187"/>
      <c r="H15" s="187"/>
      <c r="I15" s="187"/>
      <c r="J15" s="187"/>
      <c r="K15" s="187"/>
      <c r="L15" s="187"/>
      <c r="M15" s="188"/>
    </row>
    <row r="16" spans="1:13" ht="19.899999999999999" customHeight="1">
      <c r="B16" s="186"/>
      <c r="C16" s="187"/>
      <c r="D16" s="187"/>
      <c r="E16" s="187"/>
      <c r="F16" s="187"/>
      <c r="G16" s="187"/>
      <c r="H16" s="187"/>
      <c r="I16" s="187"/>
      <c r="J16" s="187"/>
      <c r="K16" s="187"/>
      <c r="L16" s="187"/>
      <c r="M16" s="188"/>
    </row>
    <row r="17" spans="2:13" ht="19.899999999999999" customHeight="1">
      <c r="B17" s="186"/>
      <c r="C17" s="187"/>
      <c r="D17" s="187"/>
      <c r="E17" s="187"/>
      <c r="F17" s="187"/>
      <c r="G17" s="187"/>
      <c r="H17" s="187"/>
      <c r="I17" s="187"/>
      <c r="J17" s="187"/>
      <c r="K17" s="187"/>
      <c r="L17" s="187"/>
      <c r="M17" s="188"/>
    </row>
    <row r="18" spans="2:13" ht="19.899999999999999" customHeight="1">
      <c r="B18" s="186"/>
      <c r="C18" s="187"/>
      <c r="D18" s="187"/>
      <c r="E18" s="187"/>
      <c r="F18" s="187"/>
      <c r="G18" s="187"/>
      <c r="H18" s="187"/>
      <c r="I18" s="187"/>
      <c r="J18" s="187"/>
      <c r="K18" s="187"/>
      <c r="L18" s="187"/>
      <c r="M18" s="188"/>
    </row>
    <row r="19" spans="2:13" ht="19.899999999999999" customHeight="1">
      <c r="B19" s="186"/>
      <c r="C19" s="187"/>
      <c r="D19" s="187"/>
      <c r="E19" s="187"/>
      <c r="F19" s="187"/>
      <c r="G19" s="187"/>
      <c r="H19" s="187"/>
      <c r="I19" s="187"/>
      <c r="J19" s="187"/>
      <c r="K19" s="187"/>
      <c r="L19" s="187"/>
      <c r="M19" s="188"/>
    </row>
    <row r="20" spans="2:13" ht="19.899999999999999" customHeight="1" thickBot="1">
      <c r="B20" s="189"/>
      <c r="C20" s="190"/>
      <c r="D20" s="190"/>
      <c r="E20" s="190"/>
      <c r="F20" s="190"/>
      <c r="G20" s="190"/>
      <c r="H20" s="190"/>
      <c r="I20" s="190"/>
      <c r="J20" s="190"/>
      <c r="K20" s="190"/>
      <c r="L20" s="190"/>
      <c r="M20" s="191"/>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2"/>
  <sheetViews>
    <sheetView showGridLines="0" topLeftCell="A10" zoomScaleNormal="100" workbookViewId="0">
      <selection activeCell="Y12" sqref="Y12"/>
    </sheetView>
  </sheetViews>
  <sheetFormatPr baseColWidth="10" defaultRowHeight="15"/>
  <cols>
    <col min="1" max="1" width="2.7109375" customWidth="1"/>
    <col min="2" max="2" width="36.85546875" bestFit="1" customWidth="1"/>
    <col min="3" max="21" width="8.7109375" style="85" customWidth="1"/>
    <col min="22" max="22" width="2.7109375" style="151" customWidth="1"/>
    <col min="23" max="23" width="8.7109375" customWidth="1"/>
  </cols>
  <sheetData>
    <row r="1" spans="1:23" s="5" customFormat="1" ht="19.899999999999999" customHeight="1">
      <c r="A1" s="1"/>
      <c r="B1" s="1"/>
      <c r="V1" s="150"/>
    </row>
    <row r="2" spans="1:23" s="5" customFormat="1" ht="19.899999999999999" customHeight="1">
      <c r="A2" s="1"/>
      <c r="B2" s="1"/>
      <c r="V2" s="150"/>
    </row>
    <row r="3" spans="1:23" s="5" customFormat="1" ht="19.899999999999999" customHeight="1">
      <c r="A3" s="1"/>
      <c r="B3" s="1"/>
      <c r="R3" s="193" t="s">
        <v>75</v>
      </c>
      <c r="S3" s="193"/>
      <c r="T3" s="193"/>
      <c r="U3" s="193"/>
      <c r="V3" s="150"/>
    </row>
    <row r="4" spans="1:23" ht="35.1" customHeight="1">
      <c r="B4" s="75" t="s">
        <v>35</v>
      </c>
    </row>
    <row r="5" spans="1:23" ht="30" customHeight="1">
      <c r="B5" s="9" t="s">
        <v>47</v>
      </c>
      <c r="C5" s="2">
        <v>2015</v>
      </c>
      <c r="D5" s="149" t="s">
        <v>60</v>
      </c>
      <c r="E5" s="2">
        <v>2016</v>
      </c>
      <c r="F5" s="149" t="s">
        <v>58</v>
      </c>
      <c r="G5" s="2">
        <v>2017</v>
      </c>
      <c r="H5" s="149" t="s">
        <v>59</v>
      </c>
      <c r="I5" s="2">
        <v>2018</v>
      </c>
      <c r="J5" s="149" t="s">
        <v>61</v>
      </c>
      <c r="K5" s="2">
        <v>2019</v>
      </c>
      <c r="L5" s="2" t="s">
        <v>64</v>
      </c>
      <c r="M5" s="2">
        <v>2020</v>
      </c>
      <c r="N5" s="2" t="s">
        <v>67</v>
      </c>
      <c r="O5" s="2">
        <v>2021</v>
      </c>
      <c r="P5" s="2" t="s">
        <v>72</v>
      </c>
      <c r="Q5" s="2">
        <v>2022</v>
      </c>
      <c r="R5" s="2" t="s">
        <v>74</v>
      </c>
      <c r="S5" s="2">
        <v>2023</v>
      </c>
      <c r="T5" s="2" t="s">
        <v>77</v>
      </c>
      <c r="U5" s="2">
        <v>2024</v>
      </c>
      <c r="V5" s="152"/>
      <c r="W5" s="2" t="s">
        <v>78</v>
      </c>
    </row>
    <row r="6" spans="1:23">
      <c r="B6" s="89"/>
      <c r="C6" s="90"/>
      <c r="D6" s="90"/>
      <c r="E6" s="90"/>
      <c r="F6" s="90"/>
      <c r="G6" s="90"/>
      <c r="H6" s="90"/>
      <c r="I6" s="90"/>
      <c r="J6" s="90"/>
      <c r="K6" s="90"/>
      <c r="L6" s="90"/>
      <c r="M6" s="90"/>
      <c r="N6" s="172"/>
      <c r="O6" s="90"/>
      <c r="P6" s="172"/>
      <c r="Q6" s="90"/>
      <c r="R6" s="172"/>
      <c r="S6" s="90"/>
      <c r="T6" s="172"/>
      <c r="U6" s="90"/>
      <c r="V6" s="153"/>
      <c r="W6" s="90"/>
    </row>
    <row r="7" spans="1:23" ht="24.95" customHeight="1">
      <c r="B7" s="88" t="s">
        <v>63</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18">
        <v>1342.5550000000001</v>
      </c>
      <c r="Q7" s="123">
        <v>2569.7350000000001</v>
      </c>
      <c r="R7" s="118">
        <v>1120.048</v>
      </c>
      <c r="S7" s="123">
        <v>2139.7719999999999</v>
      </c>
      <c r="T7" s="118">
        <f>1032.353+15.191</f>
        <v>1047.5440000000001</v>
      </c>
      <c r="U7" s="123">
        <f>'[1]CM Arkéa - Compte de résultat'!U7</f>
        <v>2183.5250000000001</v>
      </c>
      <c r="V7" s="154"/>
      <c r="W7" s="173">
        <f>U7/S7-1</f>
        <v>2.0447505622094297E-2</v>
      </c>
    </row>
    <row r="8" spans="1:23" ht="24.95"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17">
        <v>-797.58199999999999</v>
      </c>
      <c r="Q8" s="124">
        <v>-1658.0630000000001</v>
      </c>
      <c r="R8" s="117">
        <v>-724.798</v>
      </c>
      <c r="S8" s="124">
        <v>-1441.9490000000001</v>
      </c>
      <c r="T8" s="117">
        <v>-718.96600000000001</v>
      </c>
      <c r="U8" s="124">
        <f>'[1]CM Arkéa - Compte de résultat'!U8</f>
        <v>-1416.78</v>
      </c>
      <c r="V8" s="155"/>
      <c r="W8" s="174">
        <f t="shared" ref="W8:W12" si="0">U8/S8-1</f>
        <v>-1.7454847570891996E-2</v>
      </c>
    </row>
    <row r="9" spans="1:23" ht="24.95" customHeight="1">
      <c r="B9" s="3" t="s">
        <v>50</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17">
        <v>-73.049000000000007</v>
      </c>
      <c r="Q9" s="124">
        <v>-155.95500000000001</v>
      </c>
      <c r="R9" s="117">
        <v>-74.713999999999999</v>
      </c>
      <c r="S9" s="124">
        <v>-125.42400000000001</v>
      </c>
      <c r="T9" s="117">
        <v>-44.241</v>
      </c>
      <c r="U9" s="124">
        <f>'[1]CM Arkéa - Compte de résultat'!U9</f>
        <v>-84.790999999999997</v>
      </c>
      <c r="V9" s="155"/>
      <c r="W9" s="174">
        <f t="shared" si="0"/>
        <v>-0.32396511034570741</v>
      </c>
    </row>
    <row r="10" spans="1:23" ht="24.95"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18">
        <v>471.92399999999998</v>
      </c>
      <c r="Q10" s="120">
        <v>755.43</v>
      </c>
      <c r="R10" s="118">
        <v>320.49900000000002</v>
      </c>
      <c r="S10" s="120">
        <v>602.42499999999995</v>
      </c>
      <c r="T10" s="118">
        <v>284</v>
      </c>
      <c r="U10" s="120">
        <f>'[1]CM Arkéa - Compte de résultat'!U10</f>
        <v>681.95400000000018</v>
      </c>
      <c r="V10" s="154"/>
      <c r="W10" s="122">
        <f t="shared" si="0"/>
        <v>0.13201477362327307</v>
      </c>
    </row>
    <row r="11" spans="1:23" ht="24.95"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17">
        <v>-48.966999999999999</v>
      </c>
      <c r="Q11" s="124">
        <v>-136.006</v>
      </c>
      <c r="R11" s="117">
        <v>-54.447000000000003</v>
      </c>
      <c r="S11" s="124">
        <v>-94.344999999999999</v>
      </c>
      <c r="T11" s="117">
        <v>-76</v>
      </c>
      <c r="U11" s="124">
        <f>'[1]CM Arkéa - Compte de résultat'!U11</f>
        <v>-179.89500000000001</v>
      </c>
      <c r="V11" s="155"/>
      <c r="W11" s="174">
        <f t="shared" si="0"/>
        <v>0.90677831363612293</v>
      </c>
    </row>
    <row r="12" spans="1:23" ht="24.95"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18">
        <v>422.95699999999999</v>
      </c>
      <c r="Q12" s="120">
        <v>619.42399999999998</v>
      </c>
      <c r="R12" s="118">
        <v>266.05200000000002</v>
      </c>
      <c r="S12" s="120">
        <v>508.08</v>
      </c>
      <c r="T12" s="118">
        <v>208</v>
      </c>
      <c r="U12" s="120">
        <f>'[1]CM Arkéa - Compte de résultat'!U12</f>
        <v>502.06400000000002</v>
      </c>
      <c r="V12" s="154"/>
      <c r="W12" s="122">
        <f t="shared" si="0"/>
        <v>-1.1840655014958235E-2</v>
      </c>
    </row>
    <row r="13" spans="1:23" ht="24.95"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17">
        <v>3.03019665999176</v>
      </c>
      <c r="Q13" s="124">
        <v>0.635496030672978</v>
      </c>
      <c r="R13" s="117">
        <v>1.117</v>
      </c>
      <c r="S13" s="124">
        <v>15.358000000000001</v>
      </c>
      <c r="T13" s="117">
        <v>5</v>
      </c>
      <c r="U13" s="124">
        <f>'[1]CM Arkéa - Compte de résultat'!U13</f>
        <v>9.9317700000000002</v>
      </c>
      <c r="V13" s="155"/>
      <c r="W13" s="174" t="s">
        <v>68</v>
      </c>
    </row>
    <row r="14" spans="1:23" ht="24.95"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17">
        <v>9.9380000000000006</v>
      </c>
      <c r="Q14" s="124">
        <v>87.113</v>
      </c>
      <c r="R14" s="117">
        <v>-0.50600000000000001</v>
      </c>
      <c r="S14" s="124">
        <v>29.797000000000001</v>
      </c>
      <c r="T14" s="117">
        <v>-2</v>
      </c>
      <c r="U14" s="124">
        <f>'[1]CM Arkéa - Compte de résultat'!U14</f>
        <v>-1.0840000000000001</v>
      </c>
      <c r="V14" s="155"/>
      <c r="W14" s="174" t="s">
        <v>68</v>
      </c>
    </row>
    <row r="15" spans="1:23" ht="24.95"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17">
        <v>0</v>
      </c>
      <c r="Q15" s="124">
        <v>-33.710999999999999</v>
      </c>
      <c r="R15" s="117">
        <v>0</v>
      </c>
      <c r="S15" s="124">
        <v>-10.968999999999999</v>
      </c>
      <c r="T15" s="117">
        <v>0</v>
      </c>
      <c r="U15" s="124">
        <f>'[1]CM Arkéa - Compte de résultat'!U15</f>
        <v>-11</v>
      </c>
      <c r="V15" s="155"/>
      <c r="W15" s="174" t="s">
        <v>68</v>
      </c>
    </row>
    <row r="16" spans="1:23" ht="24.95"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17">
        <v>-76.013999999999996</v>
      </c>
      <c r="Q16" s="124">
        <v>-122.053</v>
      </c>
      <c r="R16" s="117">
        <v>-63.284999999999997</v>
      </c>
      <c r="S16" s="124">
        <v>123.58499999999999</v>
      </c>
      <c r="T16" s="117">
        <v>-42</v>
      </c>
      <c r="U16" s="124">
        <f>'[1]CM Arkéa - Compte de résultat'!U16</f>
        <v>-100.372</v>
      </c>
      <c r="V16" s="155"/>
      <c r="W16" s="174">
        <f t="shared" ref="W16:W18" si="1">U16/S16-1</f>
        <v>-1.8121697617024721</v>
      </c>
    </row>
    <row r="17" spans="2:23" ht="24.95"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19">
        <v>359.91119665999173</v>
      </c>
      <c r="Q17" s="125">
        <v>551.40849603067306</v>
      </c>
      <c r="R17" s="119">
        <v>203.37799999999999</v>
      </c>
      <c r="S17" s="125">
        <v>418.68099999999998</v>
      </c>
      <c r="T17" s="119">
        <v>170</v>
      </c>
      <c r="U17" s="125">
        <f>'[1]CM Arkéa - Compte de résultat'!U17</f>
        <v>399.53976999999998</v>
      </c>
      <c r="V17" s="155"/>
      <c r="W17" s="175">
        <f t="shared" si="1"/>
        <v>-4.5717933223623719E-2</v>
      </c>
    </row>
    <row r="18" spans="2:23" ht="24.95"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20">
        <v>359.91951973167357</v>
      </c>
      <c r="Q18" s="120">
        <v>550.71213185887007</v>
      </c>
      <c r="R18" s="120">
        <v>202.60400000000001</v>
      </c>
      <c r="S18" s="120">
        <v>416.75</v>
      </c>
      <c r="T18" s="120">
        <v>167</v>
      </c>
      <c r="U18" s="120">
        <f>'[1]CM Arkéa - Compte de résultat'!U18</f>
        <v>395.15429999999998</v>
      </c>
      <c r="V18" s="154"/>
      <c r="W18" s="126">
        <f t="shared" si="1"/>
        <v>-5.1819316136772708E-2</v>
      </c>
    </row>
    <row r="19" spans="2:23">
      <c r="B19" s="5"/>
      <c r="C19" s="80"/>
      <c r="D19" s="121"/>
      <c r="E19" s="121"/>
      <c r="F19" s="121"/>
      <c r="G19" s="121"/>
      <c r="H19" s="121"/>
      <c r="I19" s="121"/>
      <c r="J19" s="121"/>
      <c r="K19" s="121"/>
      <c r="L19" s="121"/>
      <c r="M19" s="121"/>
      <c r="N19" s="121"/>
      <c r="O19" s="121"/>
      <c r="P19" s="121"/>
      <c r="Q19" s="121"/>
      <c r="R19" s="121"/>
      <c r="S19" s="121"/>
      <c r="T19" s="121"/>
      <c r="U19" s="121"/>
      <c r="V19" s="156"/>
      <c r="W19" s="80"/>
    </row>
    <row r="20" spans="2:23" ht="24.95"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22">
        <v>0.64848814387492504</v>
      </c>
      <c r="Q20" s="126">
        <f>-(Q8+Q9)/Q7</f>
        <v>0.70591636880845687</v>
      </c>
      <c r="R20" s="122">
        <v>0.71399999999999997</v>
      </c>
      <c r="S20" s="126">
        <v>0.73249533127828581</v>
      </c>
      <c r="T20" s="122">
        <f>-(T8+T9)/T7</f>
        <v>0.72856796468692475</v>
      </c>
      <c r="U20" s="126">
        <f>'[1]CM Arkéa - Compte de résultat'!U20</f>
        <v>0.68768207371108636</v>
      </c>
      <c r="V20" s="157"/>
      <c r="W20" s="158" t="s">
        <v>79</v>
      </c>
    </row>
    <row r="21" spans="2:23">
      <c r="L21" s="159"/>
      <c r="M21" s="159"/>
      <c r="N21" s="159"/>
      <c r="O21" s="159"/>
      <c r="P21" s="159"/>
      <c r="Q21" s="159"/>
      <c r="R21" s="159"/>
      <c r="S21" s="159"/>
      <c r="T21" s="159"/>
      <c r="U21" s="159"/>
      <c r="V21" s="160"/>
    </row>
    <row r="22" spans="2:23" ht="24" customHeight="1">
      <c r="B22" s="192" t="s">
        <v>71</v>
      </c>
      <c r="C22" s="192"/>
      <c r="D22" s="192"/>
      <c r="E22" s="192"/>
      <c r="F22" s="192"/>
      <c r="G22" s="192"/>
      <c r="H22" s="192"/>
      <c r="I22" s="192"/>
      <c r="J22" s="192"/>
      <c r="K22" s="192"/>
      <c r="L22" s="192"/>
      <c r="M22" s="192"/>
      <c r="N22" s="161"/>
      <c r="O22" s="176"/>
      <c r="P22" s="177"/>
      <c r="Q22" s="178"/>
      <c r="R22" s="179"/>
      <c r="S22" s="179"/>
      <c r="T22" s="180"/>
      <c r="U22" s="182"/>
      <c r="V22"/>
    </row>
  </sheetData>
  <mergeCells count="2">
    <mergeCell ref="B22:M22"/>
    <mergeCell ref="R3:U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
  <sheetViews>
    <sheetView showGridLines="0" topLeftCell="C22" zoomScaleNormal="100" workbookViewId="0">
      <selection activeCell="Y26" sqref="Y26"/>
    </sheetView>
  </sheetViews>
  <sheetFormatPr baseColWidth="10" defaultColWidth="11.42578125" defaultRowHeight="12.75"/>
  <cols>
    <col min="1" max="1" width="2.7109375" style="34" customWidth="1"/>
    <col min="2" max="2" width="55.140625" style="34" customWidth="1"/>
    <col min="3" max="3" width="12" style="34" customWidth="1"/>
    <col min="4" max="7" width="11.28515625" style="34" bestFit="1" customWidth="1"/>
    <col min="8" max="8" width="2.85546875" style="53" customWidth="1"/>
    <col min="9" max="10" width="11.28515625" style="34" bestFit="1" customWidth="1"/>
    <col min="11" max="11" width="10.7109375" style="34" customWidth="1"/>
    <col min="12" max="12" width="11.28515625" style="34" bestFit="1" customWidth="1"/>
    <col min="13" max="13" width="10.7109375" style="34" customWidth="1"/>
    <col min="14" max="15" width="11.28515625" style="34" bestFit="1" customWidth="1"/>
    <col min="16" max="16" width="10.7109375" style="34" customWidth="1"/>
    <col min="17" max="17" width="11.28515625" style="34" bestFit="1" customWidth="1"/>
    <col min="18" max="19" width="11.42578125" style="34"/>
    <col min="20" max="20" width="2.5703125" style="34" customWidth="1"/>
    <col min="21" max="16384" width="11.42578125" style="34"/>
  </cols>
  <sheetData>
    <row r="1" spans="1:24" s="5" customFormat="1" ht="19.899999999999999" customHeight="1">
      <c r="A1" s="1"/>
      <c r="B1" s="1"/>
      <c r="H1" s="54"/>
    </row>
    <row r="2" spans="1:24" s="5" customFormat="1" ht="19.899999999999999" customHeight="1">
      <c r="A2" s="1"/>
      <c r="B2" s="1"/>
      <c r="H2" s="54"/>
    </row>
    <row r="3" spans="1:24" s="5" customFormat="1" ht="19.899999999999999" customHeight="1">
      <c r="A3" s="1"/>
      <c r="B3" s="1"/>
      <c r="H3" s="54"/>
    </row>
    <row r="4" spans="1:24" s="5" customFormat="1" ht="34.9" customHeight="1">
      <c r="B4" s="28" t="s">
        <v>36</v>
      </c>
      <c r="H4" s="54"/>
    </row>
    <row r="5" spans="1:24" s="5" customFormat="1" ht="19.899999999999999" customHeight="1">
      <c r="B5" s="28"/>
      <c r="C5" s="193" t="s">
        <v>2</v>
      </c>
      <c r="D5" s="193"/>
      <c r="E5" s="193"/>
      <c r="F5" s="193"/>
      <c r="G5" s="193"/>
      <c r="H5" s="55"/>
      <c r="I5" s="193" t="s">
        <v>3</v>
      </c>
      <c r="J5" s="193"/>
      <c r="K5" s="193"/>
      <c r="L5" s="193"/>
      <c r="M5" s="193"/>
      <c r="N5" s="193"/>
      <c r="O5" s="193"/>
      <c r="P5" s="193"/>
      <c r="Q5" s="193"/>
      <c r="R5" s="193"/>
      <c r="S5" s="193"/>
      <c r="U5" s="193" t="s">
        <v>75</v>
      </c>
      <c r="V5" s="193"/>
      <c r="W5" s="193"/>
      <c r="X5" s="193"/>
    </row>
    <row r="6" spans="1:24" s="29" customFormat="1" ht="10.15" customHeight="1">
      <c r="B6" s="28"/>
      <c r="C6" s="30"/>
      <c r="D6" s="30"/>
      <c r="E6" s="30"/>
      <c r="F6" s="30"/>
      <c r="G6" s="30"/>
      <c r="H6" s="56"/>
    </row>
    <row r="7" spans="1:24" s="13" customFormat="1" ht="30" customHeight="1">
      <c r="B7" s="9" t="s">
        <v>48</v>
      </c>
      <c r="C7" s="144">
        <v>42339</v>
      </c>
      <c r="D7" s="144">
        <v>42522</v>
      </c>
      <c r="E7" s="144">
        <v>42705</v>
      </c>
      <c r="F7" s="144">
        <v>42887</v>
      </c>
      <c r="G7" s="144">
        <v>43070</v>
      </c>
      <c r="H7" s="145"/>
      <c r="I7" s="144">
        <v>43101</v>
      </c>
      <c r="J7" s="144">
        <v>43252</v>
      </c>
      <c r="K7" s="144">
        <v>43435</v>
      </c>
      <c r="L7" s="144">
        <v>43617</v>
      </c>
      <c r="M7" s="144" t="s">
        <v>62</v>
      </c>
      <c r="N7" s="144">
        <v>43983</v>
      </c>
      <c r="O7" s="144" t="s">
        <v>66</v>
      </c>
      <c r="P7" s="144">
        <v>44348</v>
      </c>
      <c r="Q7" s="144" t="s">
        <v>70</v>
      </c>
      <c r="R7" s="144">
        <v>44713</v>
      </c>
      <c r="S7" s="144" t="s">
        <v>73</v>
      </c>
      <c r="U7" s="144">
        <v>45078</v>
      </c>
      <c r="V7" s="144" t="s">
        <v>76</v>
      </c>
      <c r="W7" s="144">
        <v>45444</v>
      </c>
      <c r="X7" s="144" t="s">
        <v>80</v>
      </c>
    </row>
    <row r="8" spans="1:24" s="31" customFormat="1" ht="15" customHeight="1">
      <c r="B8" s="32"/>
      <c r="C8" s="30"/>
      <c r="D8" s="30"/>
      <c r="E8" s="30"/>
      <c r="F8" s="30"/>
      <c r="G8" s="30"/>
      <c r="H8" s="59"/>
      <c r="I8" s="30"/>
      <c r="J8" s="30"/>
      <c r="K8" s="33"/>
      <c r="L8" s="30"/>
      <c r="M8" s="33"/>
      <c r="N8" s="30"/>
      <c r="O8" s="33"/>
      <c r="P8" s="30"/>
      <c r="Q8" s="33"/>
      <c r="R8" s="30"/>
      <c r="S8" s="33"/>
      <c r="U8" s="30"/>
      <c r="V8" s="30"/>
      <c r="X8" s="30"/>
    </row>
    <row r="9" spans="1:24" s="13" customFormat="1" ht="24.95"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v>13427.709000000001</v>
      </c>
      <c r="S9" s="162">
        <v>23453.717000000001</v>
      </c>
      <c r="U9" s="111">
        <v>13887.438</v>
      </c>
      <c r="V9" s="130">
        <v>13579.656000000001</v>
      </c>
      <c r="W9" s="111">
        <v>8676</v>
      </c>
      <c r="X9" s="130">
        <f>'[1]CM Arkéa - Bilan'!X9</f>
        <v>10232.249</v>
      </c>
    </row>
    <row r="10" spans="1:24" s="13" customFormat="1" ht="24.95"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v>1945.6610000000001</v>
      </c>
      <c r="S10" s="162">
        <v>2175.3310000000001</v>
      </c>
      <c r="U10" s="111">
        <v>2025.846</v>
      </c>
      <c r="V10" s="130">
        <v>1875.7249999999999</v>
      </c>
      <c r="W10" s="111">
        <v>1962</v>
      </c>
      <c r="X10" s="130">
        <f>'[1]CM Arkéa - Bilan'!X10</f>
        <v>1896.5889999999999</v>
      </c>
    </row>
    <row r="11" spans="1:24" s="13" customFormat="1" ht="24.95"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v>3446.873</v>
      </c>
      <c r="S11" s="163">
        <v>5365.0230000000001</v>
      </c>
      <c r="U11" s="112">
        <v>5021.7</v>
      </c>
      <c r="V11" s="130">
        <v>3945.2779999999998</v>
      </c>
      <c r="W11" s="112">
        <v>4077</v>
      </c>
      <c r="X11" s="130">
        <f>'[1]CM Arkéa - Bilan'!X11</f>
        <v>3292.6419999999998</v>
      </c>
    </row>
    <row r="12" spans="1:24" s="13" customFormat="1" ht="24.95"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v>9117.3649999999998</v>
      </c>
      <c r="S12" s="162">
        <v>7322.7190000000001</v>
      </c>
      <c r="U12" s="111">
        <v>8333.6990000000005</v>
      </c>
      <c r="V12" s="130">
        <v>8928.7929999999997</v>
      </c>
      <c r="W12" s="111">
        <v>10449</v>
      </c>
      <c r="X12" s="130">
        <f>'[1]CM Arkéa - Bilan'!X12</f>
        <v>11647.947</v>
      </c>
    </row>
    <row r="13" spans="1:24" s="13" customFormat="1" ht="24.95" customHeight="1">
      <c r="B13" s="15" t="s">
        <v>51</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v>0</v>
      </c>
      <c r="S13" s="131" t="s">
        <v>1</v>
      </c>
      <c r="U13" s="112">
        <v>0</v>
      </c>
      <c r="V13" s="131" t="s">
        <v>1</v>
      </c>
      <c r="W13" s="112" t="s">
        <v>1</v>
      </c>
      <c r="X13" s="131" t="str">
        <f>'[1]CM Arkéa - Bilan'!X13</f>
        <v>-</v>
      </c>
    </row>
    <row r="14" spans="1:24" s="13" customFormat="1" ht="24.95"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v>591.78300000000002</v>
      </c>
      <c r="S14" s="162">
        <v>569.48900000000003</v>
      </c>
      <c r="U14" s="111">
        <v>591.34699999999998</v>
      </c>
      <c r="V14" s="130">
        <v>671.10699999999997</v>
      </c>
      <c r="W14" s="111">
        <v>986</v>
      </c>
      <c r="X14" s="130">
        <f>'[1]CM Arkéa - Bilan'!X14</f>
        <v>1548.4580000000001</v>
      </c>
    </row>
    <row r="15" spans="1:24" s="13" customFormat="1" ht="24.95"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v>15539.88</v>
      </c>
      <c r="S15" s="163">
        <v>12044.954</v>
      </c>
      <c r="U15" s="111">
        <v>12638.044</v>
      </c>
      <c r="V15" s="131">
        <v>14030.826999999999</v>
      </c>
      <c r="W15" s="111">
        <v>14901</v>
      </c>
      <c r="X15" s="131">
        <f>'[1]CM Arkéa - Bilan'!X15</f>
        <v>14201.191000000001</v>
      </c>
    </row>
    <row r="16" spans="1:24" s="13" customFormat="1" ht="24.95"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v>77455.86</v>
      </c>
      <c r="S16" s="162">
        <v>81178.096000000005</v>
      </c>
      <c r="U16" s="70">
        <v>83953.995999999999</v>
      </c>
      <c r="V16" s="130">
        <v>86908.941000000006</v>
      </c>
      <c r="W16" s="70">
        <v>88598</v>
      </c>
      <c r="X16" s="130">
        <f>'[1]CM Arkéa - Bilan'!X16</f>
        <v>90382.061000000002</v>
      </c>
    </row>
    <row r="17" spans="2:24" s="13" customFormat="1" ht="24.95"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v>1485.848</v>
      </c>
      <c r="S17" s="164">
        <v>-4501.9960000000001</v>
      </c>
      <c r="U17" s="113">
        <v>-4242.2520000000004</v>
      </c>
      <c r="V17" s="132">
        <v>-2647.1680000000001</v>
      </c>
      <c r="W17" s="113">
        <v>-3204</v>
      </c>
      <c r="X17" s="132">
        <f>'[1]CM Arkéa - Bilan'!X17</f>
        <v>-1760.9739999999999</v>
      </c>
    </row>
    <row r="18" spans="2:24" s="13" customFormat="1" ht="24.95"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v>0</v>
      </c>
      <c r="S18" s="130" t="s">
        <v>1</v>
      </c>
      <c r="U18" s="111">
        <v>0</v>
      </c>
      <c r="V18" s="130" t="s">
        <v>1</v>
      </c>
      <c r="W18" s="111" t="s">
        <v>1</v>
      </c>
      <c r="X18" s="130" t="str">
        <f>'[1]CM Arkéa - Bilan'!X18</f>
        <v>-</v>
      </c>
    </row>
    <row r="19" spans="2:24" s="13" customFormat="1" ht="24.95"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v>55847.425000000003</v>
      </c>
      <c r="S19" s="164">
        <v>56731.46</v>
      </c>
      <c r="U19" s="113">
        <v>59080.534</v>
      </c>
      <c r="V19" s="132">
        <v>60425.249000000003</v>
      </c>
      <c r="W19" s="113">
        <v>60900</v>
      </c>
      <c r="X19" s="132">
        <f>'[1]CM Arkéa - Bilan'!X19</f>
        <v>63416.974000000002</v>
      </c>
    </row>
    <row r="20" spans="2:24" s="13" customFormat="1" ht="24.95" customHeight="1">
      <c r="B20" s="148" t="s">
        <v>52</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v>2043.610401784865</v>
      </c>
      <c r="S20" s="164">
        <v>3300.7236974141911</v>
      </c>
      <c r="U20" s="113">
        <f>(151248+187642+177274+866235+3430+218871)/1000</f>
        <v>1604.7</v>
      </c>
      <c r="V20" s="132">
        <f>(217.365+206.54+173.674+1488.073+238.886)</f>
        <v>2324.538</v>
      </c>
      <c r="W20" s="113">
        <f>(193+243+176+1475+243)</f>
        <v>2330</v>
      </c>
      <c r="X20" s="132">
        <f>'[1]CM Arkéa - Bilan'!X20</f>
        <v>1826.43</v>
      </c>
    </row>
    <row r="21" spans="2:24" s="13" customFormat="1" ht="24.95" customHeight="1">
      <c r="B21" s="148" t="s">
        <v>53</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v>976.779</v>
      </c>
      <c r="S21" s="164">
        <v>1009.2809999999999</v>
      </c>
      <c r="U21" s="113">
        <f>(137905+339482+577168)/1000</f>
        <v>1054.5550000000001</v>
      </c>
      <c r="V21" s="132">
        <f>(145.933+342.235+620.315)</f>
        <v>1108.4830000000002</v>
      </c>
      <c r="W21" s="113">
        <f>(149+389+677)</f>
        <v>1215</v>
      </c>
      <c r="X21" s="132">
        <f>'[1]CM Arkéa - Bilan'!X21</f>
        <v>1283.1300000000001</v>
      </c>
    </row>
    <row r="22" spans="2:24" s="13" customFormat="1" ht="24.95"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v>518.32100000000003</v>
      </c>
      <c r="S22" s="163">
        <v>484.61</v>
      </c>
      <c r="U22" s="112">
        <v>484.61</v>
      </c>
      <c r="V22" s="131">
        <v>473.64100000000002</v>
      </c>
      <c r="W22" s="112">
        <v>474</v>
      </c>
      <c r="X22" s="131">
        <f>'[1]CM Arkéa - Bilan'!X22</f>
        <v>462.64100000000002</v>
      </c>
    </row>
    <row r="23" spans="2:24" s="13" customFormat="1" ht="24.95"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c r="S23" s="165">
        <f>SUM(S9:S22)</f>
        <v>189133.40769741416</v>
      </c>
      <c r="U23" s="47">
        <f>SUM(U9:U22)</f>
        <v>184434.217</v>
      </c>
      <c r="V23" s="47">
        <f>SUM(V9:V22)</f>
        <v>191625.07</v>
      </c>
      <c r="W23" s="47">
        <v>191362</v>
      </c>
      <c r="X23" s="47">
        <f>'[1]CM Arkéa - Bilan'!X23</f>
        <v>198429.33799999999</v>
      </c>
    </row>
    <row r="24" spans="2:24" s="37" customFormat="1" ht="19.899999999999999" customHeight="1">
      <c r="B24" s="38"/>
      <c r="C24" s="39"/>
      <c r="D24" s="39"/>
      <c r="E24" s="39"/>
      <c r="F24" s="39"/>
      <c r="G24" s="39"/>
      <c r="H24" s="62"/>
      <c r="I24" s="39"/>
      <c r="J24" s="39"/>
      <c r="K24" s="39"/>
      <c r="L24" s="39"/>
      <c r="M24" s="39"/>
      <c r="O24" s="166"/>
      <c r="Q24" s="166"/>
      <c r="S24" s="166"/>
      <c r="V24" s="39"/>
      <c r="X24" s="39"/>
    </row>
    <row r="25" spans="2:24" s="13" customFormat="1" ht="30" customHeight="1">
      <c r="B25" s="9" t="s">
        <v>49</v>
      </c>
      <c r="C25" s="144">
        <v>42339</v>
      </c>
      <c r="D25" s="144">
        <v>42522</v>
      </c>
      <c r="E25" s="144">
        <v>42705</v>
      </c>
      <c r="F25" s="144">
        <v>42887</v>
      </c>
      <c r="G25" s="144">
        <v>43070</v>
      </c>
      <c r="H25" s="146"/>
      <c r="I25" s="144">
        <v>43101</v>
      </c>
      <c r="J25" s="144">
        <v>43252</v>
      </c>
      <c r="K25" s="144">
        <v>43435</v>
      </c>
      <c r="L25" s="144">
        <v>43617</v>
      </c>
      <c r="M25" s="144" t="s">
        <v>62</v>
      </c>
      <c r="N25" s="144">
        <v>43983</v>
      </c>
      <c r="O25" s="144" t="s">
        <v>66</v>
      </c>
      <c r="P25" s="144">
        <v>44348</v>
      </c>
      <c r="Q25" s="144" t="s">
        <v>70</v>
      </c>
      <c r="R25" s="144">
        <f>+R7</f>
        <v>44713</v>
      </c>
      <c r="S25" s="144" t="s">
        <v>73</v>
      </c>
      <c r="U25" s="144">
        <v>45078</v>
      </c>
      <c r="V25" s="144" t="s">
        <v>76</v>
      </c>
      <c r="W25" s="144">
        <v>45444</v>
      </c>
      <c r="X25" s="144" t="s">
        <v>80</v>
      </c>
    </row>
    <row r="26" spans="2:24" s="52" customFormat="1" ht="15" customHeight="1">
      <c r="B26" s="67"/>
      <c r="C26" s="68"/>
      <c r="D26" s="68"/>
      <c r="E26" s="68"/>
      <c r="F26" s="68"/>
      <c r="G26" s="68"/>
      <c r="H26" s="63"/>
      <c r="I26" s="68"/>
      <c r="J26" s="68"/>
      <c r="K26" s="68"/>
      <c r="L26" s="68"/>
      <c r="M26" s="68"/>
      <c r="O26" s="167"/>
      <c r="Q26" s="167"/>
      <c r="S26" s="167"/>
      <c r="V26" s="68"/>
      <c r="X26" s="68"/>
    </row>
    <row r="27" spans="2:24" s="13" customFormat="1" ht="24.95"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v>1838.037</v>
      </c>
      <c r="S27" s="168">
        <v>2049.9470000000001</v>
      </c>
      <c r="U27" s="111">
        <v>2675.5880000000002</v>
      </c>
      <c r="V27" s="132">
        <v>2737.0459999999998</v>
      </c>
      <c r="W27" s="111">
        <v>2880</v>
      </c>
      <c r="X27" s="132">
        <f>'[1]CM Arkéa - Bilan'!X27</f>
        <v>2768.7559999999999</v>
      </c>
    </row>
    <row r="28" spans="2:24" s="13" customFormat="1" ht="24.95"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v>2911.806</v>
      </c>
      <c r="S28" s="168">
        <v>4525.3779999999997</v>
      </c>
      <c r="U28" s="111">
        <v>4141.6130000000003</v>
      </c>
      <c r="V28" s="57">
        <v>3479.9490000000001</v>
      </c>
      <c r="W28" s="111">
        <v>3393</v>
      </c>
      <c r="X28" s="57">
        <f>'[1]CM Arkéa - Bilan'!X28</f>
        <v>3065.5740000000001</v>
      </c>
    </row>
    <row r="29" spans="2:24" s="13" customFormat="1" ht="24.95"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v>15776.492</v>
      </c>
      <c r="S29" s="169">
        <v>19843.531999999999</v>
      </c>
      <c r="U29" s="111">
        <v>23180.880000000001</v>
      </c>
      <c r="V29" s="73">
        <v>24442.681</v>
      </c>
      <c r="W29" s="111">
        <v>25633</v>
      </c>
      <c r="X29" s="73">
        <f>'[1]CM Arkéa - Bilan'!X29</f>
        <v>25943.39</v>
      </c>
    </row>
    <row r="30" spans="2:24" s="13" customFormat="1" ht="24.95"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v>14830.787</v>
      </c>
      <c r="S30" s="168">
        <v>14021.591</v>
      </c>
      <c r="U30" s="111">
        <v>7328.2129999999997</v>
      </c>
      <c r="V30" s="57">
        <v>6747.6270000000004</v>
      </c>
      <c r="W30" s="111">
        <v>4331</v>
      </c>
      <c r="X30" s="57">
        <f>'[1]CM Arkéa - Bilan'!X30</f>
        <v>4309.3609999999999</v>
      </c>
    </row>
    <row r="31" spans="2:24" s="13" customFormat="1" ht="24.95" customHeight="1">
      <c r="B31" s="15" t="s">
        <v>54</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v>75591.126999999993</v>
      </c>
      <c r="S31" s="170">
        <v>81064.164000000004</v>
      </c>
      <c r="U31" s="111">
        <v>80952.820999999996</v>
      </c>
      <c r="V31" s="58">
        <v>85080.712</v>
      </c>
      <c r="W31" s="111">
        <v>84282</v>
      </c>
      <c r="X31" s="58">
        <f>'[1]CM Arkéa - Bilan'!X31</f>
        <v>89241.296000000002</v>
      </c>
    </row>
    <row r="32" spans="2:24" s="13" customFormat="1" ht="24.95"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v>53673.659</v>
      </c>
      <c r="S32" s="168">
        <v>56109.540999999997</v>
      </c>
      <c r="U32" s="111">
        <v>51233.62</v>
      </c>
      <c r="V32" s="57">
        <v>52679.432999999997</v>
      </c>
      <c r="W32" s="111">
        <v>53258</v>
      </c>
      <c r="X32" s="57">
        <f>'[1]CM Arkéa - Bilan'!X32</f>
        <v>55000.603999999999</v>
      </c>
    </row>
    <row r="33" spans="2:24" s="13" customFormat="1" ht="24.95"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v>270.084</v>
      </c>
      <c r="S33" s="168">
        <v>299.19499999999999</v>
      </c>
      <c r="U33" s="111">
        <v>257.30500000000001</v>
      </c>
      <c r="V33" s="57">
        <v>251.41300000000001</v>
      </c>
      <c r="W33" s="111">
        <v>246</v>
      </c>
      <c r="X33" s="57">
        <f>'[1]CM Arkéa - Bilan'!X33</f>
        <v>259.255</v>
      </c>
    </row>
    <row r="34" spans="2:24" s="13" customFormat="1" ht="24.95"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v>2258.5129999999999</v>
      </c>
      <c r="S34" s="170">
        <v>2182.0140000000001</v>
      </c>
      <c r="U34" s="111">
        <v>2171.623</v>
      </c>
      <c r="V34" s="58">
        <v>2271.5079999999998</v>
      </c>
      <c r="W34" s="111">
        <v>2734</v>
      </c>
      <c r="X34" s="58">
        <f>'[1]CM Arkéa - Bilan'!X34</f>
        <v>2342.6619999999998</v>
      </c>
    </row>
    <row r="35" spans="2:24" s="13" customFormat="1" ht="24.95"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v>6746.6409999999996</v>
      </c>
      <c r="S35" s="168">
        <v>311.61561320000004</v>
      </c>
      <c r="U35" s="111">
        <f>(-1903895+42826+274622+4532448+4686)/1000</f>
        <v>2950.6869999999999</v>
      </c>
      <c r="V35" s="57">
        <f>(-1269.242+88.212+302.7+5100.189)</f>
        <v>4221.8590000000004</v>
      </c>
      <c r="W35" s="111">
        <f>(-1396+29+312+5777)</f>
        <v>4722</v>
      </c>
      <c r="X35" s="57">
        <f>'[1]CM Arkéa - Bilan'!X35</f>
        <v>5567.27</v>
      </c>
    </row>
    <row r="36" spans="2:24" s="13" customFormat="1" ht="24.95"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v>8494.0825150463716</v>
      </c>
      <c r="S36" s="171">
        <v>8719.2119572983192</v>
      </c>
      <c r="U36" s="114">
        <v>9533.875</v>
      </c>
      <c r="V36" s="137">
        <v>9703.7430000000004</v>
      </c>
      <c r="W36" s="114">
        <v>9873</v>
      </c>
      <c r="X36" s="137">
        <f>'[1]CM Arkéa - Bilan'!X36</f>
        <v>9917.7610999999997</v>
      </c>
    </row>
    <row r="37" spans="2:24" s="13" customFormat="1" ht="24.95"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v>5.88585531955004</v>
      </c>
      <c r="S37" s="168">
        <v>7.2196573969197901</v>
      </c>
      <c r="U37" s="111">
        <v>7.992</v>
      </c>
      <c r="V37" s="134">
        <v>9.0990000000000002</v>
      </c>
      <c r="W37" s="111">
        <v>11</v>
      </c>
      <c r="X37" s="134">
        <f>'[1]CM Arkéa - Bilan'!X37</f>
        <v>13.414</v>
      </c>
    </row>
    <row r="38" spans="2:24" s="13" customFormat="1" ht="24.95"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c r="S38" s="165">
        <f>SUM(S27:S37)</f>
        <v>189133.40922789523</v>
      </c>
      <c r="U38" s="47">
        <f>SUM(U27:U37)</f>
        <v>184434.21699999998</v>
      </c>
      <c r="V38" s="47">
        <f>SUM(V27:V37)</f>
        <v>191625.06999999998</v>
      </c>
      <c r="W38" s="47">
        <v>191362</v>
      </c>
      <c r="X38" s="47">
        <f>'[1]CM Arkéa - Bilan'!X38</f>
        <v>198429.3431</v>
      </c>
    </row>
    <row r="39" spans="2:24" s="37" customFormat="1" ht="19.899999999999999" customHeight="1">
      <c r="B39" s="99"/>
      <c r="C39" s="100"/>
      <c r="D39" s="100"/>
      <c r="E39" s="100"/>
      <c r="F39" s="100"/>
      <c r="G39" s="100"/>
      <c r="H39" s="62"/>
      <c r="I39" s="100"/>
      <c r="J39" s="100"/>
      <c r="K39" s="100"/>
      <c r="L39" s="100"/>
      <c r="M39" s="100"/>
    </row>
    <row r="40" spans="2:24">
      <c r="H40" s="66"/>
    </row>
    <row r="41" spans="2:24">
      <c r="H41" s="66"/>
    </row>
    <row r="42" spans="2:24">
      <c r="H42" s="66"/>
    </row>
    <row r="43" spans="2:24">
      <c r="H43" s="66"/>
    </row>
    <row r="47" spans="2:24">
      <c r="E47" s="35"/>
    </row>
    <row r="48" spans="2:24">
      <c r="E48" s="35"/>
    </row>
    <row r="49" spans="5:5">
      <c r="E49" s="14"/>
    </row>
    <row r="50" spans="5:5">
      <c r="E50" s="35"/>
    </row>
    <row r="51" spans="5:5">
      <c r="E51" s="35"/>
    </row>
    <row r="52" spans="5:5">
      <c r="E52" s="35"/>
    </row>
  </sheetData>
  <mergeCells count="3">
    <mergeCell ref="C5:G5"/>
    <mergeCell ref="I5:S5"/>
    <mergeCell ref="U5:X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2"/>
  <sheetViews>
    <sheetView showGridLines="0" tabSelected="1" topLeftCell="A10" zoomScaleNormal="100" workbookViewId="0">
      <selection activeCell="W15" sqref="W15"/>
    </sheetView>
  </sheetViews>
  <sheetFormatPr baseColWidth="10" defaultColWidth="12.5703125" defaultRowHeight="12.75" customHeight="1" zeroHeight="1"/>
  <cols>
    <col min="1" max="1" width="2.7109375" style="5" customWidth="1"/>
    <col min="2" max="2" width="51.140625" style="5" customWidth="1"/>
    <col min="3" max="9" width="8.7109375" style="5" customWidth="1"/>
    <col min="10" max="17" width="9" style="5" customWidth="1"/>
    <col min="18" max="20" width="8.85546875" style="5" customWidth="1"/>
    <col min="21" max="21" width="9.42578125" style="5" customWidth="1"/>
    <col min="22" max="16384" width="12.5703125" style="5"/>
  </cols>
  <sheetData>
    <row r="1" spans="1:21" ht="19.899999999999999" customHeight="1">
      <c r="A1" s="1"/>
      <c r="B1" s="1"/>
      <c r="C1" s="1"/>
    </row>
    <row r="2" spans="1:21" ht="19.899999999999999" customHeight="1">
      <c r="A2" s="1"/>
      <c r="B2" s="1"/>
      <c r="C2" s="1"/>
    </row>
    <row r="3" spans="1:21" ht="19.899999999999999" customHeight="1">
      <c r="A3" s="1"/>
      <c r="B3" s="1"/>
      <c r="C3" s="1"/>
    </row>
    <row r="4" spans="1:21" ht="35.1" customHeight="1">
      <c r="B4" s="194" t="s">
        <v>55</v>
      </c>
      <c r="C4" s="194"/>
      <c r="D4" s="195"/>
    </row>
    <row r="5" spans="1:21" ht="30" customHeight="1">
      <c r="B5" s="9" t="s">
        <v>47</v>
      </c>
      <c r="C5" s="144">
        <v>42339</v>
      </c>
      <c r="D5" s="144">
        <v>42522</v>
      </c>
      <c r="E5" s="144">
        <v>42705</v>
      </c>
      <c r="F5" s="144">
        <v>42887</v>
      </c>
      <c r="G5" s="144">
        <v>43070</v>
      </c>
      <c r="H5" s="144">
        <v>43252</v>
      </c>
      <c r="I5" s="144">
        <v>43435</v>
      </c>
      <c r="J5" s="144">
        <v>43617</v>
      </c>
      <c r="K5" s="144" t="s">
        <v>62</v>
      </c>
      <c r="L5" s="144">
        <v>43983</v>
      </c>
      <c r="M5" s="144" t="s">
        <v>66</v>
      </c>
      <c r="N5" s="144">
        <v>44348</v>
      </c>
      <c r="O5" s="144" t="s">
        <v>70</v>
      </c>
      <c r="P5" s="144">
        <v>44713</v>
      </c>
      <c r="Q5" s="144" t="s">
        <v>73</v>
      </c>
      <c r="R5" s="144">
        <v>45078</v>
      </c>
      <c r="S5" s="144" t="s">
        <v>76</v>
      </c>
      <c r="T5" s="181">
        <v>45444</v>
      </c>
      <c r="U5" s="144" t="s">
        <v>80</v>
      </c>
    </row>
    <row r="6" spans="1:21" s="29" customFormat="1" ht="15" customHeight="1">
      <c r="A6" s="106"/>
      <c r="B6" s="107"/>
      <c r="C6" s="108"/>
      <c r="D6" s="108"/>
      <c r="E6" s="108"/>
      <c r="F6" s="108"/>
      <c r="G6" s="108"/>
      <c r="H6" s="108"/>
      <c r="I6" s="108"/>
      <c r="J6" s="108"/>
      <c r="K6" s="108"/>
      <c r="L6" s="108"/>
      <c r="M6" s="108"/>
      <c r="O6" s="108"/>
      <c r="Q6" s="108"/>
      <c r="S6" s="108"/>
      <c r="T6" s="108"/>
      <c r="U6" s="108"/>
    </row>
    <row r="7" spans="1:21" ht="24.95" customHeight="1">
      <c r="B7" s="91" t="s">
        <v>37</v>
      </c>
      <c r="C7" s="92"/>
      <c r="D7" s="93"/>
      <c r="E7" s="93"/>
      <c r="F7" s="93"/>
      <c r="G7" s="93"/>
      <c r="H7" s="93"/>
      <c r="I7" s="93"/>
      <c r="J7" s="93"/>
      <c r="K7" s="93"/>
      <c r="L7" s="93"/>
      <c r="M7" s="93"/>
      <c r="N7" s="93"/>
      <c r="O7" s="93"/>
      <c r="P7" s="93"/>
      <c r="Q7" s="93"/>
      <c r="R7" s="93"/>
      <c r="S7" s="93"/>
      <c r="T7" s="93"/>
      <c r="U7" s="93"/>
    </row>
    <row r="8" spans="1:21" ht="24.95" customHeight="1">
      <c r="B8" s="19" t="s">
        <v>44</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v>7231</v>
      </c>
      <c r="Q8" s="138">
        <v>7508</v>
      </c>
      <c r="R8" s="21">
        <v>8342</v>
      </c>
      <c r="S8" s="138">
        <v>8400</v>
      </c>
      <c r="T8" s="21">
        <v>8636</v>
      </c>
      <c r="U8" s="138">
        <f>'[1]CM Arkéa - Capital'!U8</f>
        <v>8551.4930000000004</v>
      </c>
    </row>
    <row r="9" spans="1:21" ht="24.95" customHeight="1">
      <c r="B9" s="22" t="s">
        <v>43</v>
      </c>
      <c r="C9" s="139">
        <v>4689</v>
      </c>
      <c r="D9" s="23">
        <v>4796</v>
      </c>
      <c r="E9" s="139">
        <v>4850</v>
      </c>
      <c r="F9" s="23">
        <v>5196</v>
      </c>
      <c r="G9" s="139">
        <f>G8</f>
        <v>5294</v>
      </c>
      <c r="H9" s="23">
        <v>5590</v>
      </c>
      <c r="I9" s="139">
        <v>5594</v>
      </c>
      <c r="J9" s="24">
        <v>5988</v>
      </c>
      <c r="K9" s="139">
        <v>6164</v>
      </c>
      <c r="L9" s="24">
        <v>6437</v>
      </c>
      <c r="M9" s="139">
        <v>6744</v>
      </c>
      <c r="N9" s="24">
        <v>7074</v>
      </c>
      <c r="O9" s="139">
        <v>7308</v>
      </c>
      <c r="P9" s="24">
        <v>7231</v>
      </c>
      <c r="Q9" s="139">
        <v>7508</v>
      </c>
      <c r="R9" s="24">
        <v>8342</v>
      </c>
      <c r="S9" s="139">
        <v>8400</v>
      </c>
      <c r="T9" s="24">
        <v>8636</v>
      </c>
      <c r="U9" s="138">
        <f>'[1]CM Arkéa - Capital'!U9</f>
        <v>8551.4930000000004</v>
      </c>
    </row>
    <row r="10" spans="1:21" ht="24.95" customHeight="1">
      <c r="B10" s="22" t="s">
        <v>56</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v>1706</v>
      </c>
      <c r="Q10" s="139">
        <v>1656</v>
      </c>
      <c r="R10" s="24">
        <f>R11-R8</f>
        <v>1614</v>
      </c>
      <c r="S10" s="139">
        <f>S11-S8</f>
        <v>1566</v>
      </c>
      <c r="T10" s="24">
        <f>T11-T8</f>
        <v>1987</v>
      </c>
      <c r="U10" s="139">
        <f>U11-U8</f>
        <v>1390.5069999999996</v>
      </c>
    </row>
    <row r="11" spans="1:21" ht="24.95" customHeight="1">
      <c r="B11" s="22" t="s">
        <v>45</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v>8937</v>
      </c>
      <c r="Q11" s="139">
        <v>9164</v>
      </c>
      <c r="R11" s="24">
        <v>9956</v>
      </c>
      <c r="S11" s="139">
        <v>9966</v>
      </c>
      <c r="T11" s="24">
        <v>10623</v>
      </c>
      <c r="U11" s="139">
        <f>'[1]CM Arkéa - Capital'!U11</f>
        <v>9942</v>
      </c>
    </row>
    <row r="12" spans="1:21" ht="24.95" customHeight="1">
      <c r="B12" s="79" t="s">
        <v>46</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v>43924</v>
      </c>
      <c r="Q12" s="140">
        <v>44545</v>
      </c>
      <c r="R12" s="98">
        <v>48474</v>
      </c>
      <c r="S12" s="140">
        <v>49736</v>
      </c>
      <c r="T12" s="98">
        <v>51555</v>
      </c>
      <c r="U12" s="140">
        <f>'[1]CM Arkéa - Capital'!U12</f>
        <v>50871</v>
      </c>
    </row>
    <row r="13" spans="1:21" s="29" customFormat="1" ht="15" customHeight="1">
      <c r="B13" s="86"/>
      <c r="C13" s="87"/>
      <c r="D13" s="109"/>
      <c r="E13" s="87"/>
      <c r="F13" s="110"/>
      <c r="G13" s="87"/>
      <c r="H13" s="87"/>
      <c r="I13" s="87"/>
      <c r="J13" s="87"/>
      <c r="K13" s="87"/>
      <c r="L13" s="87"/>
      <c r="M13" s="87"/>
      <c r="N13" s="87"/>
      <c r="O13" s="87"/>
      <c r="P13" s="87"/>
      <c r="Q13" s="87"/>
      <c r="R13" s="87"/>
      <c r="S13" s="87"/>
      <c r="T13" s="87"/>
      <c r="U13" s="87"/>
    </row>
    <row r="14" spans="1:21" ht="24.95" customHeight="1">
      <c r="B14" s="91" t="s">
        <v>42</v>
      </c>
      <c r="C14" s="94"/>
      <c r="D14" s="95"/>
      <c r="E14" s="96"/>
      <c r="F14" s="95"/>
      <c r="G14" s="96"/>
      <c r="H14" s="95"/>
      <c r="I14" s="96"/>
      <c r="J14" s="96"/>
      <c r="K14" s="96"/>
      <c r="L14" s="96"/>
      <c r="M14" s="96"/>
      <c r="N14" s="96"/>
      <c r="O14" s="96"/>
      <c r="P14" s="96"/>
      <c r="Q14" s="96"/>
      <c r="R14" s="96"/>
      <c r="S14" s="96"/>
      <c r="T14" s="96"/>
      <c r="U14" s="96"/>
    </row>
    <row r="15" spans="1:21" ht="24.95" customHeight="1">
      <c r="B15" s="22" t="s">
        <v>38</v>
      </c>
      <c r="C15" s="141">
        <f t="shared" ref="C15:K15" si="0">C9/C12</f>
        <v>0.15837655953962243</v>
      </c>
      <c r="D15" s="26">
        <f t="shared" si="0"/>
        <v>0.15278697083849968</v>
      </c>
      <c r="E15" s="141">
        <f t="shared" si="0"/>
        <v>0.1528061173613364</v>
      </c>
      <c r="F15" s="26">
        <f t="shared" si="0"/>
        <v>0.16852655074189726</v>
      </c>
      <c r="G15" s="141">
        <f t="shared" si="0"/>
        <v>0.18519791496673069</v>
      </c>
      <c r="H15" s="26">
        <f t="shared" si="0"/>
        <v>0.18348409665631046</v>
      </c>
      <c r="I15" s="141">
        <f t="shared" si="0"/>
        <v>0.17470498000386886</v>
      </c>
      <c r="J15" s="26">
        <f t="shared" si="0"/>
        <v>0.17544168058363366</v>
      </c>
      <c r="K15" s="141">
        <f t="shared" si="0"/>
        <v>0.16387515286861276</v>
      </c>
      <c r="L15" s="26">
        <f>L9/L12</f>
        <v>0.16770445249198865</v>
      </c>
      <c r="M15" s="141">
        <v>0.16800000000000001</v>
      </c>
      <c r="N15" s="26">
        <f>N9/N12</f>
        <v>0.17123768487811963</v>
      </c>
      <c r="O15" s="141">
        <v>0.17</v>
      </c>
      <c r="P15" s="26">
        <f t="shared" ref="P15:U15" si="1">P9/P12</f>
        <v>0.16462526181586376</v>
      </c>
      <c r="Q15" s="141">
        <f t="shared" si="1"/>
        <v>0.16854865865978225</v>
      </c>
      <c r="R15" s="26">
        <f t="shared" si="1"/>
        <v>0.17209225564219993</v>
      </c>
      <c r="S15" s="141">
        <f t="shared" si="1"/>
        <v>0.16889174843171947</v>
      </c>
      <c r="T15" s="26">
        <f t="shared" si="1"/>
        <v>0.16751042575889827</v>
      </c>
      <c r="U15" s="141">
        <f t="shared" si="1"/>
        <v>0.16810153132433017</v>
      </c>
    </row>
    <row r="16" spans="1:21" ht="24.95" customHeight="1">
      <c r="B16" s="22" t="s">
        <v>39</v>
      </c>
      <c r="C16" s="141">
        <f t="shared" ref="C16:K16" si="2">C8/C12</f>
        <v>0.15837655953962243</v>
      </c>
      <c r="D16" s="26">
        <f t="shared" si="2"/>
        <v>0.15281882800506316</v>
      </c>
      <c r="E16" s="141">
        <f t="shared" si="2"/>
        <v>0.1528061173613364</v>
      </c>
      <c r="F16" s="26">
        <f t="shared" si="2"/>
        <v>0.16894819145776421</v>
      </c>
      <c r="G16" s="141">
        <f t="shared" si="2"/>
        <v>0.18519791496673069</v>
      </c>
      <c r="H16" s="26">
        <f t="shared" si="2"/>
        <v>0.18499398367709585</v>
      </c>
      <c r="I16" s="141">
        <f t="shared" si="2"/>
        <v>0.1761103650771928</v>
      </c>
      <c r="J16" s="26">
        <f t="shared" si="2"/>
        <v>0.1764378424306349</v>
      </c>
      <c r="K16" s="141">
        <f t="shared" si="2"/>
        <v>0.16480565746796405</v>
      </c>
      <c r="L16" s="26">
        <f>L8/L12</f>
        <v>0.16830367610660971</v>
      </c>
      <c r="M16" s="141">
        <v>0.16900000000000001</v>
      </c>
      <c r="N16" s="26">
        <f>N8/N12</f>
        <v>0.17150940427489048</v>
      </c>
      <c r="O16" s="141">
        <v>0.16990505374097548</v>
      </c>
      <c r="P16" s="26">
        <f>P8/P12</f>
        <v>0.16462526181586376</v>
      </c>
      <c r="Q16" s="141">
        <f>Q8/Q12</f>
        <v>0.16854865865978225</v>
      </c>
      <c r="R16" s="26">
        <f>R8/R12</f>
        <v>0.17209225564219993</v>
      </c>
      <c r="S16" s="141">
        <f>S8/S12</f>
        <v>0.16889174843171947</v>
      </c>
      <c r="T16" s="26">
        <f t="shared" ref="T16" si="3">T8/T12</f>
        <v>0.16751042575889827</v>
      </c>
      <c r="U16" s="141">
        <f>U8/U12</f>
        <v>0.16810153132433017</v>
      </c>
    </row>
    <row r="17" spans="2:21" ht="24.95" customHeight="1">
      <c r="B17" s="18" t="s">
        <v>40</v>
      </c>
      <c r="C17" s="142">
        <f t="shared" ref="C17:K17" si="4">C11/C12</f>
        <v>0.16107865481860936</v>
      </c>
      <c r="D17" s="27">
        <f t="shared" si="4"/>
        <v>0.16897041145275277</v>
      </c>
      <c r="E17" s="142">
        <f t="shared" si="4"/>
        <v>0.16544019015760361</v>
      </c>
      <c r="F17" s="27">
        <f t="shared" si="4"/>
        <v>0.19599806507568998</v>
      </c>
      <c r="G17" s="142">
        <f t="shared" si="4"/>
        <v>0.21475821684562896</v>
      </c>
      <c r="H17" s="27">
        <f t="shared" si="4"/>
        <v>0.20777358351242312</v>
      </c>
      <c r="I17" s="142">
        <f t="shared" si="4"/>
        <v>0.19759714130934544</v>
      </c>
      <c r="J17" s="27">
        <f t="shared" si="4"/>
        <v>0.22056195247722013</v>
      </c>
      <c r="K17" s="142">
        <f t="shared" si="4"/>
        <v>0.21404264369649598</v>
      </c>
      <c r="L17" s="27">
        <f>L11/L12</f>
        <v>0.21689289529218664</v>
      </c>
      <c r="M17" s="142">
        <v>0.216</v>
      </c>
      <c r="N17" s="27">
        <f>N11/N12</f>
        <v>0.21589891312241291</v>
      </c>
      <c r="O17" s="142">
        <v>0.211435336722613</v>
      </c>
      <c r="P17" s="27">
        <f>P11/P12</f>
        <v>0.20346507604043348</v>
      </c>
      <c r="Q17" s="142">
        <f>Q11/Q12</f>
        <v>0.20572454820967562</v>
      </c>
      <c r="R17" s="27">
        <f>R11/R12</f>
        <v>0.20538845566695549</v>
      </c>
      <c r="S17" s="142">
        <f>S11/S12</f>
        <v>0.2003779958179186</v>
      </c>
      <c r="T17" s="27">
        <f t="shared" ref="T17" si="5">T11/T12</f>
        <v>0.20605178935117835</v>
      </c>
      <c r="U17" s="142">
        <f>U11/U12</f>
        <v>0.19543551335731557</v>
      </c>
    </row>
    <row r="18" spans="2:21" s="29" customFormat="1" ht="15" customHeight="1">
      <c r="B18" s="86"/>
      <c r="C18" s="87"/>
      <c r="D18" s="87"/>
      <c r="E18" s="87"/>
      <c r="F18" s="87"/>
      <c r="G18" s="87"/>
      <c r="H18" s="87"/>
      <c r="I18" s="87"/>
      <c r="J18" s="87"/>
      <c r="K18" s="87"/>
      <c r="L18" s="87"/>
      <c r="M18" s="87"/>
      <c r="N18" s="87"/>
      <c r="O18" s="87"/>
      <c r="P18" s="87"/>
      <c r="Q18" s="87"/>
      <c r="R18" s="87"/>
      <c r="S18" s="87"/>
      <c r="T18" s="87"/>
      <c r="U18" s="87"/>
    </row>
    <row r="19" spans="2:21" ht="24.95" customHeight="1">
      <c r="B19" s="91" t="s">
        <v>57</v>
      </c>
      <c r="C19" s="94"/>
      <c r="D19" s="95"/>
      <c r="E19" s="96"/>
      <c r="F19" s="95"/>
      <c r="G19" s="96"/>
      <c r="H19" s="95"/>
      <c r="I19" s="96"/>
      <c r="J19" s="96"/>
      <c r="K19" s="96"/>
      <c r="L19" s="96"/>
      <c r="M19" s="96"/>
      <c r="N19" s="96"/>
      <c r="O19" s="96"/>
      <c r="P19" s="96"/>
      <c r="Q19" s="96"/>
      <c r="R19" s="96"/>
      <c r="S19" s="96"/>
      <c r="T19" s="96"/>
      <c r="U19" s="96"/>
    </row>
    <row r="20" spans="2:21" ht="24.95"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v>6.3E-2</v>
      </c>
      <c r="Q20" s="141">
        <v>5.8999999999999997E-2</v>
      </c>
      <c r="R20" s="26">
        <v>6.8000000000000005E-2</v>
      </c>
      <c r="S20" s="141">
        <v>6.5000000000000002E-2</v>
      </c>
      <c r="T20" s="26">
        <v>6.8000000000000005E-2</v>
      </c>
      <c r="U20" s="141">
        <f>'[1]CM Arkéa - Capital'!U20</f>
        <v>6.4000000000000001E-2</v>
      </c>
    </row>
    <row r="21" spans="2:21" ht="12.75" customHeight="1">
      <c r="B21" s="12"/>
      <c r="C21" s="12"/>
      <c r="D21" s="11"/>
      <c r="E21" s="11"/>
      <c r="F21" s="11"/>
      <c r="G21" s="11"/>
      <c r="H21" s="11"/>
      <c r="I21" s="11"/>
      <c r="J21" s="11"/>
      <c r="K21" s="11"/>
    </row>
    <row r="22" spans="2:21" s="105" customFormat="1" ht="73.5" customHeight="1">
      <c r="B22" s="196" t="s">
        <v>69</v>
      </c>
      <c r="C22" s="196"/>
      <c r="D22" s="196"/>
      <c r="E22" s="196"/>
      <c r="F22" s="196"/>
      <c r="G22" s="196"/>
      <c r="H22" s="196"/>
      <c r="I22" s="196"/>
      <c r="J22" s="196"/>
      <c r="K22" s="196"/>
      <c r="L22" s="196"/>
      <c r="M22" s="196"/>
      <c r="N22" s="196"/>
    </row>
    <row r="23" spans="2:21" ht="12.75" customHeight="1">
      <c r="B23" s="196"/>
      <c r="C23" s="196"/>
      <c r="D23" s="196"/>
      <c r="E23" s="196"/>
      <c r="F23" s="196"/>
      <c r="G23" s="196"/>
      <c r="H23" s="196"/>
      <c r="I23" s="196"/>
      <c r="J23" s="196"/>
    </row>
    <row r="24" spans="2:21" ht="12.75" customHeight="1"/>
    <row r="25" spans="2:21" ht="12.75" customHeight="1"/>
    <row r="26" spans="2:21" ht="12.75" customHeight="1"/>
    <row r="27" spans="2:21" ht="12.75" customHeight="1"/>
    <row r="28" spans="2:21" ht="12.75" customHeight="1"/>
    <row r="29" spans="2:21" ht="12.75" customHeight="1"/>
    <row r="30" spans="2:21" ht="12.75" customHeight="1"/>
    <row r="31" spans="2:21" ht="12.75" customHeight="1"/>
    <row r="32" spans="2:2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2021-02-18T20:37:40Z</cp:lastPrinted>
  <dcterms:created xsi:type="dcterms:W3CDTF">2019-07-16T13:32:44Z</dcterms:created>
  <dcterms:modified xsi:type="dcterms:W3CDTF">2025-04-23T12:45:23Z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