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defaultThemeVersion="124226"/>
  <bookViews>
    <workbookView xWindow="-15" yWindow="4875" windowWidth="27900" windowHeight="4935" tabRatio="720"/>
  </bookViews>
  <sheets>
    <sheet name="Intro - Avertissement" sheetId="7" r:id="rId1"/>
    <sheet name="CM Arkéa - Compte de résultat" sheetId="9" r:id="rId2"/>
    <sheet name="CM Arkéa - Bilan" sheetId="8" r:id="rId3"/>
    <sheet name="CM Arkéa - Capital" sheetId="5" r:id="rId4"/>
  </sheets>
  <definedNames>
    <definedName name="q">#REF!</definedName>
    <definedName name="_xlnm.Print_Area" localSheetId="2">'CM Arkéa - Bilan'!$B$1:$O$38</definedName>
    <definedName name="_xlnm.Print_Area" localSheetId="3">'CM Arkéa - Capital'!$B$1:$M$22</definedName>
    <definedName name="_xlnm.Print_Area" localSheetId="0">'Intro - Avertissement'!$B$1:$M$20</definedName>
  </definedNames>
  <calcPr calcId="145621"/>
</workbook>
</file>

<file path=xl/calcChain.xml><?xml version="1.0" encoding="utf-8"?>
<calcChain xmlns="http://schemas.openxmlformats.org/spreadsheetml/2006/main">
  <c r="V17" i="5" l="1"/>
  <c r="T17" i="5"/>
  <c r="V15" i="5"/>
  <c r="V16" i="5"/>
  <c r="V10" i="5"/>
  <c r="Y38" i="8"/>
  <c r="Y23" i="8"/>
  <c r="Y25" i="8"/>
  <c r="X18" i="9"/>
  <c r="X17" i="9"/>
  <c r="X16" i="9"/>
  <c r="X12" i="9"/>
  <c r="X11" i="9"/>
  <c r="X10" i="9"/>
  <c r="X9" i="9"/>
  <c r="X8" i="9"/>
  <c r="X7" i="9"/>
  <c r="U20" i="9"/>
  <c r="U10" i="9"/>
  <c r="U9" i="5" l="1"/>
  <c r="U17" i="5" l="1"/>
  <c r="U16" i="5"/>
  <c r="U15" i="5"/>
  <c r="U10" i="5"/>
  <c r="X38" i="8"/>
  <c r="X23" i="8"/>
  <c r="V20" i="9" l="1"/>
  <c r="T7" i="9" l="1"/>
  <c r="T16" i="5" l="1"/>
  <c r="T15" i="5"/>
  <c r="T10" i="5"/>
  <c r="W35" i="8"/>
  <c r="W20" i="8"/>
  <c r="W21" i="8"/>
  <c r="W25" i="8"/>
  <c r="T20" i="9"/>
  <c r="S17" i="5" l="1"/>
  <c r="S16" i="5"/>
  <c r="S15" i="5"/>
  <c r="S10" i="5"/>
  <c r="R17" i="5"/>
  <c r="R16" i="5"/>
  <c r="R15" i="5"/>
  <c r="R10" i="5"/>
  <c r="V35" i="8"/>
  <c r="V20" i="8"/>
  <c r="V21" i="8"/>
  <c r="V38" i="8"/>
  <c r="V23" i="8"/>
  <c r="U35" i="8"/>
  <c r="U38" i="8" s="1"/>
  <c r="U25" i="8"/>
  <c r="U21" i="8"/>
  <c r="U20" i="8"/>
  <c r="U23" i="8" s="1"/>
  <c r="S20" i="9"/>
  <c r="Q17" i="5" l="1"/>
  <c r="Q16" i="5"/>
  <c r="Q15" i="5"/>
  <c r="Q10" i="5"/>
  <c r="S38" i="8" l="1"/>
  <c r="S23" i="8"/>
  <c r="Q20" i="9" l="1"/>
  <c r="P10" i="5"/>
  <c r="P17" i="5" l="1"/>
  <c r="P16" i="5"/>
  <c r="P15" i="5"/>
  <c r="R25" i="8"/>
  <c r="R38" i="8" l="1"/>
  <c r="R23" i="8"/>
  <c r="O17" i="5" l="1"/>
  <c r="O16" i="5"/>
  <c r="O10" i="5"/>
  <c r="Q38" i="8" l="1"/>
  <c r="Q23" i="8"/>
  <c r="O20" i="9"/>
  <c r="P38" i="8"/>
  <c r="P23" i="8"/>
  <c r="N8" i="5" l="1"/>
  <c r="N17" i="5" l="1"/>
  <c r="N16" i="5"/>
  <c r="N15" i="5"/>
  <c r="N10" i="9"/>
  <c r="N12" i="9" s="1"/>
  <c r="N17" i="9" s="1"/>
  <c r="N20" i="9"/>
  <c r="O35" i="8" l="1"/>
  <c r="O38" i="8"/>
  <c r="O20" i="8"/>
  <c r="O23" i="8" s="1"/>
  <c r="O21" i="8"/>
  <c r="M20" i="9"/>
  <c r="L16" i="5" l="1"/>
  <c r="L15" i="5"/>
  <c r="L11" i="5"/>
  <c r="L17" i="5" s="1"/>
  <c r="L20"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<sst xmlns="http://schemas.openxmlformats.org/spreadsheetml/2006/main" count="120" uniqueCount="76">
  <si>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</si>
  <si>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</si>
  <si>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</si>
  <si>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</si>
  <si>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</si>
  <si>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</si>
  <si>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</si>
  <si>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</si>
  <si>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</si>
  <si>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</si>
  <si>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</si>
  <si>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</si>
  <si>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</si>
  <si>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</si>
  <si>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</si>
  <si>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</si>
  <si>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</si>
  <si>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</si>
  <si>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</si>
  <si>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</si>
  <si>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</si>
  <si>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</si>
  <si>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</si>
  <si>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</si>
  <si>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</si>
  <si>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</si>
  <si>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</si>
  <si>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</si>
  <si>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</si>
  <si>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</si>
  <si>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</si>
  <si>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</si>
  <si>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</si>
  <si>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</si>
  <si>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</si>
  <si>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</si>
  <si>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</si>
  <si>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</si>
  <si>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</si>
  <si>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</si>
  <si>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</si>
  <si>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</si>
  <si>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</si>
  <si>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</si>
  <si>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</si>
  <si>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</si>
  <si>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</si>
  <si>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</si>
  <si>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</si>
  <si>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</si>
  <si>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</si>
  <si>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</si>
  <si>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</si>
  <si>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</si>
  <si>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</si>
  <si>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</si>
  <si>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</si>
  <si>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</si>
  <si>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</si>
  <si>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 de levier</t>
  </si>
  <si>
    <t>Immeubles de placement et immobilisations</t>
  </si>
  <si>
    <t>Revenus*</t>
  </si>
  <si>
    <t>S1-20</t>
  </si>
  <si>
    <t>S1-21</t>
  </si>
  <si>
    <t>S1-22</t>
  </si>
  <si>
    <t>IFRS 17</t>
  </si>
  <si>
    <t>S1-23</t>
  </si>
  <si>
    <t>S1-24</t>
  </si>
  <si>
    <t>*A partir de 2019, les revenus correspondent au produit net banque-assurance (PNBA) et aux gains ou pertes sur cession ou dilution des entreprises mises en équivalence. 
Pour les années précédentes, les revenus correspondent au produit net banque-assurance.</t>
  </si>
  <si>
    <t>S1-25</t>
  </si>
  <si>
    <t xml:space="preserve">ns. </t>
  </si>
  <si>
    <t>- 4,5 pts</t>
  </si>
  <si>
    <t>S1-25 / S1-24</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</si>
  <si>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des documents d’enregistrement universel depuis 2019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</si>
  <si>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RATIOS DE SOLVABILITE</t>
  </si>
  <si>
    <t>RATIOS DE LEVIER</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</si>
</sst>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quot;- &quot;0&quot; pts&quot;"/>
    <numFmt numFmtId="338" formatCode="0.000%"/>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87">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7" fontId="0" fillId="0" borderId="0" xfId="1" applyNumberFormat="1" applyFont="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 fontId="0" fillId="0" borderId="0" xfId="0" applyNumberFormat="1"/>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167" fontId="0" fillId="0" borderId="0" xfId="0" applyNumberFormat="1" applyAlignment="1">
      <alignment horizontal="center" vertical="center"/>
    </xf>
    <xf numFmtId="338" fontId="0" fillId="0" borderId="0" xfId="1" applyNumberFormat="1" applyFont="1" applyAlignment="1">
      <alignment horizontal="center" vertical="center"/>
    </xf>
    <xf numFmtId="0" fontId="266" fillId="0" borderId="66" xfId="2" applyFont="1" applyFill="1" applyBorder="1" applyAlignment="1">
      <alignment vertical="center"/>
    </xf>
    <xf numFmtId="1" fontId="9"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167" fontId="0" fillId="0" borderId="0" xfId="0" applyNumberFormat="1" applyFill="1" applyBorder="1" applyAlignment="1">
      <alignment horizontal="center" vertical="center"/>
    </xf>
    <xf numFmtId="167" fontId="0" fillId="0" borderId="0" xfId="0" applyNumberFormat="1"/>
    <xf numFmtId="337" fontId="266" fillId="2" borderId="2" xfId="1" quotePrefix="1" applyNumberFormat="1" applyFont="1" applyFill="1" applyBorder="1" applyAlignment="1">
      <alignment horizontal="center" vertical="center" wrapText="1"/>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10" fontId="0" fillId="0" borderId="0" xfId="0" applyNumberFormat="1"/>
    <xf numFmtId="10" fontId="263" fillId="0" borderId="0" xfId="1" applyNumberFormat="1" applyFont="1" applyAlignment="1">
      <alignment horizontal="center" vertical="center" wrapText="1"/>
    </xf>
    <xf numFmtId="202" fontId="7" fillId="0" borderId="0" xfId="0" applyNumberFormat="1" applyFont="1" applyAlignment="1">
      <alignment vertical="center"/>
    </xf>
    <xf numFmtId="0" fontId="7" fillId="0" borderId="0" xfId="2" applyBorder="1" applyAlignment="1">
      <alignment horizontal="center" vertical="center"/>
    </xf>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xf numFmtId="3" fontId="263" fillId="0" borderId="0" xfId="2" applyNumberFormat="1" applyFont="1" applyFill="1" applyAlignment="1">
      <alignment horizontal="center" vertical="center" wrapText="1"/>
    </xf>
    <xf numFmtId="3" fontId="264" fillId="0" borderId="2" xfId="2" applyNumberFormat="1" applyFont="1" applyFill="1" applyBorder="1" applyAlignment="1">
      <alignment horizontal="center" vertical="center" wrapText="1"/>
    </xf>
    <xf numFmtId="3" fontId="263" fillId="0" borderId="2" xfId="2" applyNumberFormat="1" applyFont="1" applyFill="1" applyBorder="1" applyAlignment="1">
      <alignment horizontal="center" vertical="center" wrapText="1"/>
    </xf>
    <xf numFmtId="0" fontId="263" fillId="0" borderId="0" xfId="2" applyFont="1" applyFill="1" applyAlignment="1">
      <alignment horizontal="center" vertical="center"/>
    </xf>
    <xf numFmtId="167" fontId="264" fillId="0" borderId="2" xfId="1" applyNumberFormat="1" applyFont="1" applyFill="1" applyBorder="1" applyAlignment="1">
      <alignment horizontal="center" vertical="center" wrapText="1"/>
    </xf>
    <xf numFmtId="3" fontId="264" fillId="0" borderId="66" xfId="2" applyNumberFormat="1" applyFont="1" applyFill="1" applyBorder="1" applyAlignment="1">
      <alignment horizontal="center" vertical="center"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ED1C24"/>
      <color rgb="FFDEDEDE"/>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43961</xdr:colOff>
      <xdr:row>1</xdr:row>
      <xdr:rowOff>95250</xdr:rowOff>
    </xdr:from>
    <xdr:to>
      <xdr:col>2</xdr:col>
      <xdr:colOff>497644</xdr:colOff>
      <xdr:row>3</xdr:row>
      <xdr:rowOff>339969</xdr:rowOff>
    </xdr:to>
    <xdr:pic>
      <xdr:nvPicPr>
        <xdr:cNvPr id="3" name="Image 2" descr="C:\Users\a3273\Pictures\Downloads\E01_ARK_LOGO_CMA_QUADRI_MM.jp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134" y="344365"/>
          <a:ext cx="188976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152400</xdr:rowOff>
    </xdr:from>
    <xdr:to>
      <xdr:col>1</xdr:col>
      <xdr:colOff>933450</xdr:colOff>
      <xdr:row>3</xdr:row>
      <xdr:rowOff>19050</xdr:rowOff>
    </xdr:to>
    <xdr:pic>
      <xdr:nvPicPr>
        <xdr:cNvPr id="5" name="Image 4" descr="C:\Users\a3273\Pictures\Downloads\E01_ARK_LOGO_CMA_QUADRI_MM.jpg">
          <a:extLst>
            <a:ext uri="{FF2B5EF4-FFF2-40B4-BE49-F238E27FC236}">
              <a16:creationId xmlns:a16="http://schemas.microsoft.com/office/drawing/2014/main" xmlns=""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00050"/>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1</xdr:row>
      <xdr:rowOff>180975</xdr:rowOff>
    </xdr:from>
    <xdr:to>
      <xdr:col>1</xdr:col>
      <xdr:colOff>971550</xdr:colOff>
      <xdr:row>3</xdr:row>
      <xdr:rowOff>47625</xdr:rowOff>
    </xdr:to>
    <xdr:pic>
      <xdr:nvPicPr>
        <xdr:cNvPr id="3" name="Image 2" descr="C:\Users\a3273\Pictures\Downloads\E01_ARK_LOGO_CMA_QUADRI_MM.jpg">
          <a:extLst>
            <a:ext uri="{FF2B5EF4-FFF2-40B4-BE49-F238E27FC236}">
              <a16:creationId xmlns:a16="http://schemas.microsoft.com/office/drawing/2014/main" xmlns=""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28625"/>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133350</xdr:rowOff>
    </xdr:from>
    <xdr:to>
      <xdr:col>1</xdr:col>
      <xdr:colOff>923925</xdr:colOff>
      <xdr:row>3</xdr:row>
      <xdr:rowOff>0</xdr:rowOff>
    </xdr:to>
    <xdr:pic>
      <xdr:nvPicPr>
        <xdr:cNvPr id="4" name="Image 3" descr="C:\Users\a3273\Pictures\Downloads\E01_ARK_LOGO_CMA_QUADRI_MM.jpg">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8100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tabSelected="1" zoomScale="130" zoomScaleNormal="130" workbookViewId="0">
      <selection activeCell="P4" sqref="P4"/>
    </sheetView>
  </sheetViews>
  <sheetFormatPr baseColWidth="10" defaultRowHeight="19.899999999999999" customHeight="1"/>
  <cols>
    <col min="1" max="1" width="2.7109375" customWidth="1"/>
    <col min="2" max="2" width="21.5703125" customWidth="1"/>
  </cols>
  <sheetData>
    <row r="1" spans="1:13" s="5" customFormat="1" ht="19.899999999999999" customHeight="1">
      <c r="A1" s="1"/>
      <c r="B1" s="1"/>
      <c r="I1" s="55"/>
    </row>
    <row r="2" spans="1:13" s="5" customFormat="1" ht="19.899999999999999" customHeight="1">
      <c r="A2" s="1"/>
      <c r="B2" s="1"/>
      <c r="I2" s="55"/>
    </row>
    <row r="3" spans="1:13" s="5" customFormat="1" ht="19.899999999999999" customHeight="1">
      <c r="A3" s="1"/>
      <c r="B3" s="1"/>
      <c r="I3" s="55"/>
    </row>
    <row r="4" spans="1:13" ht="34.9" customHeight="1" thickBot="1"/>
    <row r="5" spans="1:13" ht="19.899999999999999" customHeight="1" thickTop="1">
      <c r="B5" s="167" t="s">
        <v>73</v>
      </c>
      <c r="C5" s="168"/>
      <c r="D5" s="168"/>
      <c r="E5" s="168"/>
      <c r="F5" s="168"/>
      <c r="G5" s="168"/>
      <c r="H5" s="168"/>
      <c r="I5" s="168"/>
      <c r="J5" s="168"/>
      <c r="K5" s="168"/>
      <c r="L5" s="168"/>
      <c r="M5" s="169"/>
    </row>
    <row r="6" spans="1:13" ht="19.899999999999999" customHeight="1">
      <c r="B6" s="170"/>
      <c r="C6" s="171"/>
      <c r="D6" s="171"/>
      <c r="E6" s="171"/>
      <c r="F6" s="171"/>
      <c r="G6" s="171"/>
      <c r="H6" s="171"/>
      <c r="I6" s="171"/>
      <c r="J6" s="171"/>
      <c r="K6" s="171"/>
      <c r="L6" s="171"/>
      <c r="M6" s="172"/>
    </row>
    <row r="7" spans="1:13" ht="19.899999999999999" customHeight="1">
      <c r="B7" s="170"/>
      <c r="C7" s="171"/>
      <c r="D7" s="171"/>
      <c r="E7" s="171"/>
      <c r="F7" s="171"/>
      <c r="G7" s="171"/>
      <c r="H7" s="171"/>
      <c r="I7" s="171"/>
      <c r="J7" s="171"/>
      <c r="K7" s="171"/>
      <c r="L7" s="171"/>
      <c r="M7" s="172"/>
    </row>
    <row r="8" spans="1:13" ht="19.899999999999999" customHeight="1">
      <c r="B8" s="170"/>
      <c r="C8" s="171"/>
      <c r="D8" s="171"/>
      <c r="E8" s="171"/>
      <c r="F8" s="171"/>
      <c r="G8" s="171"/>
      <c r="H8" s="171"/>
      <c r="I8" s="171"/>
      <c r="J8" s="171"/>
      <c r="K8" s="171"/>
      <c r="L8" s="171"/>
      <c r="M8" s="172"/>
    </row>
    <row r="9" spans="1:13" ht="19.899999999999999" customHeight="1">
      <c r="B9" s="170"/>
      <c r="C9" s="171"/>
      <c r="D9" s="171"/>
      <c r="E9" s="171"/>
      <c r="F9" s="171"/>
      <c r="G9" s="171"/>
      <c r="H9" s="171"/>
      <c r="I9" s="171"/>
      <c r="J9" s="171"/>
      <c r="K9" s="171"/>
      <c r="L9" s="171"/>
      <c r="M9" s="172"/>
    </row>
    <row r="10" spans="1:13" ht="19.899999999999999" customHeight="1">
      <c r="B10" s="170"/>
      <c r="C10" s="171"/>
      <c r="D10" s="171"/>
      <c r="E10" s="171"/>
      <c r="F10" s="171"/>
      <c r="G10" s="171"/>
      <c r="H10" s="171"/>
      <c r="I10" s="171"/>
      <c r="J10" s="171"/>
      <c r="K10" s="171"/>
      <c r="L10" s="171"/>
      <c r="M10" s="172"/>
    </row>
    <row r="11" spans="1:13" ht="19.899999999999999" customHeight="1">
      <c r="B11" s="170"/>
      <c r="C11" s="171"/>
      <c r="D11" s="171"/>
      <c r="E11" s="171"/>
      <c r="F11" s="171"/>
      <c r="G11" s="171"/>
      <c r="H11" s="171"/>
      <c r="I11" s="171"/>
      <c r="J11" s="171"/>
      <c r="K11" s="171"/>
      <c r="L11" s="171"/>
      <c r="M11" s="172"/>
    </row>
    <row r="12" spans="1:13" ht="19.899999999999999" customHeight="1">
      <c r="B12" s="170"/>
      <c r="C12" s="171"/>
      <c r="D12" s="171"/>
      <c r="E12" s="171"/>
      <c r="F12" s="171"/>
      <c r="G12" s="171"/>
      <c r="H12" s="171"/>
      <c r="I12" s="171"/>
      <c r="J12" s="171"/>
      <c r="K12" s="171"/>
      <c r="L12" s="171"/>
      <c r="M12" s="172"/>
    </row>
    <row r="13" spans="1:13" ht="19.899999999999999" customHeight="1">
      <c r="B13" s="170"/>
      <c r="C13" s="171"/>
      <c r="D13" s="171"/>
      <c r="E13" s="171"/>
      <c r="F13" s="171"/>
      <c r="G13" s="171"/>
      <c r="H13" s="171"/>
      <c r="I13" s="171"/>
      <c r="J13" s="171"/>
      <c r="K13" s="171"/>
      <c r="L13" s="171"/>
      <c r="M13" s="172"/>
    </row>
    <row r="14" spans="1:13" ht="19.899999999999999" customHeight="1">
      <c r="B14" s="170"/>
      <c r="C14" s="171"/>
      <c r="D14" s="171"/>
      <c r="E14" s="171"/>
      <c r="F14" s="171"/>
      <c r="G14" s="171"/>
      <c r="H14" s="171"/>
      <c r="I14" s="171"/>
      <c r="J14" s="171"/>
      <c r="K14" s="171"/>
      <c r="L14" s="171"/>
      <c r="M14" s="172"/>
    </row>
    <row r="15" spans="1:13" ht="19.899999999999999" customHeight="1">
      <c r="B15" s="170"/>
      <c r="C15" s="171"/>
      <c r="D15" s="171"/>
      <c r="E15" s="171"/>
      <c r="F15" s="171"/>
      <c r="G15" s="171"/>
      <c r="H15" s="171"/>
      <c r="I15" s="171"/>
      <c r="J15" s="171"/>
      <c r="K15" s="171"/>
      <c r="L15" s="171"/>
      <c r="M15" s="172"/>
    </row>
    <row r="16" spans="1:13" ht="19.899999999999999" customHeight="1">
      <c r="B16" s="170"/>
      <c r="C16" s="171"/>
      <c r="D16" s="171"/>
      <c r="E16" s="171"/>
      <c r="F16" s="171"/>
      <c r="G16" s="171"/>
      <c r="H16" s="171"/>
      <c r="I16" s="171"/>
      <c r="J16" s="171"/>
      <c r="K16" s="171"/>
      <c r="L16" s="171"/>
      <c r="M16" s="172"/>
    </row>
    <row r="17" spans="2:13" ht="19.899999999999999" customHeight="1">
      <c r="B17" s="170"/>
      <c r="C17" s="171"/>
      <c r="D17" s="171"/>
      <c r="E17" s="171"/>
      <c r="F17" s="171"/>
      <c r="G17" s="171"/>
      <c r="H17" s="171"/>
      <c r="I17" s="171"/>
      <c r="J17" s="171"/>
      <c r="K17" s="171"/>
      <c r="L17" s="171"/>
      <c r="M17" s="172"/>
    </row>
    <row r="18" spans="2:13" ht="19.899999999999999" customHeight="1">
      <c r="B18" s="170"/>
      <c r="C18" s="171"/>
      <c r="D18" s="171"/>
      <c r="E18" s="171"/>
      <c r="F18" s="171"/>
      <c r="G18" s="171"/>
      <c r="H18" s="171"/>
      <c r="I18" s="171"/>
      <c r="J18" s="171"/>
      <c r="K18" s="171"/>
      <c r="L18" s="171"/>
      <c r="M18" s="172"/>
    </row>
    <row r="19" spans="2:13" ht="19.899999999999999" customHeight="1">
      <c r="B19" s="170"/>
      <c r="C19" s="171"/>
      <c r="D19" s="171"/>
      <c r="E19" s="171"/>
      <c r="F19" s="171"/>
      <c r="G19" s="171"/>
      <c r="H19" s="171"/>
      <c r="I19" s="171"/>
      <c r="J19" s="171"/>
      <c r="K19" s="171"/>
      <c r="L19" s="171"/>
      <c r="M19" s="172"/>
    </row>
    <row r="20" spans="2:13" ht="19.899999999999999" customHeight="1" thickBot="1">
      <c r="B20" s="173"/>
      <c r="C20" s="174"/>
      <c r="D20" s="174"/>
      <c r="E20" s="174"/>
      <c r="F20" s="174"/>
      <c r="G20" s="174"/>
      <c r="H20" s="174"/>
      <c r="I20" s="174"/>
      <c r="J20" s="174"/>
      <c r="K20" s="174"/>
      <c r="L20" s="174"/>
      <c r="M20" s="175"/>
    </row>
    <row r="21" spans="2:13" ht="19.899999999999999"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2"/>
  <sheetViews>
    <sheetView showGridLines="0" topLeftCell="A15" zoomScaleNormal="100" workbookViewId="0">
      <selection activeCell="X5" sqref="X5"/>
    </sheetView>
  </sheetViews>
  <sheetFormatPr baseColWidth="10" defaultRowHeight="15"/>
  <cols>
    <col min="1" max="1" width="2.7109375" customWidth="1"/>
    <col min="2" max="2" width="36.85546875" bestFit="1" customWidth="1"/>
    <col min="3" max="22" width="8.7109375" style="87" customWidth="1"/>
    <col min="23" max="23" width="2.7109375" style="152" customWidth="1"/>
    <col min="24" max="24" width="13" customWidth="1"/>
  </cols>
  <sheetData>
    <row r="1" spans="1:25" s="5" customFormat="1" ht="19.899999999999999" customHeight="1">
      <c r="A1" s="1"/>
      <c r="B1" s="1"/>
      <c r="W1" s="151"/>
    </row>
    <row r="2" spans="1:25" s="5" customFormat="1" ht="19.899999999999999" customHeight="1">
      <c r="A2" s="1"/>
      <c r="B2" s="1"/>
      <c r="W2" s="151"/>
    </row>
    <row r="3" spans="1:25" s="5" customFormat="1" ht="19.899999999999999" customHeight="1">
      <c r="A3" s="1"/>
      <c r="B3" s="1"/>
      <c r="R3" s="177" t="s">
        <v>65</v>
      </c>
      <c r="S3" s="177"/>
      <c r="T3" s="177"/>
      <c r="U3" s="177"/>
      <c r="V3" s="177"/>
      <c r="W3" s="151"/>
    </row>
    <row r="4" spans="1:25" ht="35.1" customHeight="1">
      <c r="B4" s="77" t="s">
        <v>32</v>
      </c>
      <c r="R4" s="151"/>
    </row>
    <row r="5" spans="1:25" ht="30" customHeight="1">
      <c r="B5" s="9" t="s">
        <v>20</v>
      </c>
      <c r="C5" s="2">
        <v>2015</v>
      </c>
      <c r="D5" s="2" t="s">
        <v>26</v>
      </c>
      <c r="E5" s="2">
        <v>2016</v>
      </c>
      <c r="F5" s="2" t="s">
        <v>27</v>
      </c>
      <c r="G5" s="2">
        <v>2017</v>
      </c>
      <c r="H5" s="2" t="s">
        <v>28</v>
      </c>
      <c r="I5" s="2">
        <v>2018</v>
      </c>
      <c r="J5" s="2" t="s">
        <v>29</v>
      </c>
      <c r="K5" s="2">
        <v>2019</v>
      </c>
      <c r="L5" s="2" t="s">
        <v>62</v>
      </c>
      <c r="M5" s="2">
        <v>2020</v>
      </c>
      <c r="N5" s="2" t="s">
        <v>63</v>
      </c>
      <c r="O5" s="2">
        <v>2021</v>
      </c>
      <c r="P5" s="2" t="s">
        <v>64</v>
      </c>
      <c r="Q5" s="2">
        <v>2022</v>
      </c>
      <c r="R5" s="2" t="s">
        <v>66</v>
      </c>
      <c r="S5" s="2">
        <v>2023</v>
      </c>
      <c r="T5" s="2" t="s">
        <v>67</v>
      </c>
      <c r="U5" s="2">
        <v>2024</v>
      </c>
      <c r="V5" s="2" t="s">
        <v>69</v>
      </c>
      <c r="W5" s="149"/>
      <c r="X5" s="2" t="s">
        <v>72</v>
      </c>
    </row>
    <row r="6" spans="1:25">
      <c r="B6" s="90"/>
      <c r="C6" s="166"/>
      <c r="D6" s="91"/>
      <c r="E6" s="166"/>
      <c r="F6" s="166"/>
      <c r="G6" s="91"/>
      <c r="H6" s="166"/>
      <c r="I6" s="91"/>
      <c r="J6" s="166"/>
      <c r="K6" s="166"/>
      <c r="L6" s="166"/>
      <c r="M6" s="91"/>
      <c r="N6" s="166"/>
      <c r="O6" s="166"/>
      <c r="P6" s="166"/>
      <c r="Q6" s="166"/>
      <c r="R6" s="166"/>
      <c r="S6" s="91"/>
      <c r="T6" s="91"/>
      <c r="U6" s="91"/>
      <c r="V6" s="91"/>
      <c r="W6" s="153"/>
      <c r="X6" s="91"/>
    </row>
    <row r="7" spans="1:25" ht="24.95" customHeight="1">
      <c r="B7" s="148" t="s">
        <v>61</v>
      </c>
      <c r="C7" s="83">
        <v>1780</v>
      </c>
      <c r="D7" s="117">
        <v>936.42499999999995</v>
      </c>
      <c r="E7" s="121">
        <v>1851.9880000000001</v>
      </c>
      <c r="F7" s="119">
        <v>1002.766</v>
      </c>
      <c r="G7" s="124">
        <v>2089.6060000000002</v>
      </c>
      <c r="H7" s="119">
        <v>1082.423</v>
      </c>
      <c r="I7" s="124">
        <v>2145.8049999999998</v>
      </c>
      <c r="J7" s="119">
        <v>1115.819</v>
      </c>
      <c r="K7" s="121">
        <v>2303</v>
      </c>
      <c r="L7" s="119">
        <v>1096.4269999999999</v>
      </c>
      <c r="M7" s="124">
        <v>2157.5230000000001</v>
      </c>
      <c r="N7" s="119">
        <v>1224.0640000000001</v>
      </c>
      <c r="O7" s="121">
        <v>2530.65</v>
      </c>
      <c r="P7" s="119">
        <v>1342.5550000000001</v>
      </c>
      <c r="Q7" s="121">
        <v>2569.7350000000001</v>
      </c>
      <c r="R7" s="119">
        <v>1120.048</v>
      </c>
      <c r="S7" s="124">
        <v>2140.2629999999999</v>
      </c>
      <c r="T7" s="117">
        <f>1032.353+15.191</f>
        <v>1047.5440000000001</v>
      </c>
      <c r="U7" s="124">
        <v>2183.5250000000001</v>
      </c>
      <c r="V7" s="186">
        <v>1148.3</v>
      </c>
      <c r="W7" s="150"/>
      <c r="X7" s="160">
        <f>V7/T7-1</f>
        <v>9.6183072023704907E-2</v>
      </c>
      <c r="Y7" s="128"/>
    </row>
    <row r="8" spans="1:25" ht="24.95" customHeight="1">
      <c r="B8" s="3" t="s">
        <v>2</v>
      </c>
      <c r="C8" s="84">
        <v>-1137</v>
      </c>
      <c r="D8" s="118">
        <v>-606.42100000000005</v>
      </c>
      <c r="E8" s="125">
        <v>-1171.597</v>
      </c>
      <c r="F8" s="118">
        <v>-632.298</v>
      </c>
      <c r="G8" s="125">
        <v>-1313.0809999999999</v>
      </c>
      <c r="H8" s="118">
        <v>-675.46400000000006</v>
      </c>
      <c r="I8" s="125">
        <v>-1394.211</v>
      </c>
      <c r="J8" s="118">
        <f>-708.439</f>
        <v>-708.43899999999996</v>
      </c>
      <c r="K8" s="125">
        <v>-1446</v>
      </c>
      <c r="L8" s="118">
        <v>-600.29999999999995</v>
      </c>
      <c r="M8" s="125">
        <v>-1353.2570000000001</v>
      </c>
      <c r="N8" s="118">
        <v>-734.89700000000005</v>
      </c>
      <c r="O8" s="125">
        <v>-1550.442</v>
      </c>
      <c r="P8" s="118">
        <v>-797.58199999999999</v>
      </c>
      <c r="Q8" s="125">
        <v>-1658.0630000000001</v>
      </c>
      <c r="R8" s="118">
        <v>-724.798</v>
      </c>
      <c r="S8" s="125">
        <v>-1412.6279999999999</v>
      </c>
      <c r="T8" s="118">
        <v>-718.96600000000001</v>
      </c>
      <c r="U8" s="125">
        <v>-1416.78</v>
      </c>
      <c r="V8" s="181">
        <v>-726.5</v>
      </c>
      <c r="W8" s="154"/>
      <c r="X8" s="161">
        <f t="shared" ref="X8:X18" si="0">V8/T8-1</f>
        <v>1.047893780790754E-2</v>
      </c>
      <c r="Y8" s="128"/>
    </row>
    <row r="9" spans="1:25" ht="24.95" customHeight="1">
      <c r="B9" s="3" t="s">
        <v>30</v>
      </c>
      <c r="C9" s="84">
        <v>-99</v>
      </c>
      <c r="D9" s="118">
        <v>-50.887</v>
      </c>
      <c r="E9" s="125">
        <v>-110.69499999999999</v>
      </c>
      <c r="F9" s="118">
        <v>-55.572000000000003</v>
      </c>
      <c r="G9" s="125">
        <v>-114.291</v>
      </c>
      <c r="H9" s="118">
        <v>-58.106000000000002</v>
      </c>
      <c r="I9" s="125">
        <v>-119.31399999999999</v>
      </c>
      <c r="J9" s="118">
        <v>-64.188000000000002</v>
      </c>
      <c r="K9" s="125">
        <v>-133</v>
      </c>
      <c r="L9" s="118">
        <v>-67.001999999999995</v>
      </c>
      <c r="M9" s="125">
        <v>-139.761</v>
      </c>
      <c r="N9" s="118">
        <v>-71.703000000000003</v>
      </c>
      <c r="O9" s="125">
        <v>-151.60499999999999</v>
      </c>
      <c r="P9" s="118">
        <v>-73.049000000000007</v>
      </c>
      <c r="Q9" s="125">
        <v>-155.95500000000001</v>
      </c>
      <c r="R9" s="118">
        <v>-74.713999999999999</v>
      </c>
      <c r="S9" s="125">
        <v>-124.745</v>
      </c>
      <c r="T9" s="118">
        <v>-44.241</v>
      </c>
      <c r="U9" s="125">
        <v>-84.790999999999997</v>
      </c>
      <c r="V9" s="181">
        <v>-58.3</v>
      </c>
      <c r="W9" s="154"/>
      <c r="X9" s="161">
        <f t="shared" si="0"/>
        <v>0.31778214778146952</v>
      </c>
      <c r="Y9" s="128"/>
    </row>
    <row r="10" spans="1:25" ht="24.95" customHeight="1">
      <c r="B10" s="7" t="s">
        <v>21</v>
      </c>
      <c r="C10" s="83">
        <v>545</v>
      </c>
      <c r="D10" s="119">
        <v>279.11700000000002</v>
      </c>
      <c r="E10" s="121">
        <v>569.69600000000003</v>
      </c>
      <c r="F10" s="119">
        <v>314.89600000000002</v>
      </c>
      <c r="G10" s="121">
        <v>662.23400000000004</v>
      </c>
      <c r="H10" s="119">
        <v>348.85300000000001</v>
      </c>
      <c r="I10" s="121">
        <v>632.28</v>
      </c>
      <c r="J10" s="119">
        <v>343.19200000000001</v>
      </c>
      <c r="K10" s="121">
        <v>724</v>
      </c>
      <c r="L10" s="119">
        <v>429.125</v>
      </c>
      <c r="M10" s="121">
        <v>664.5</v>
      </c>
      <c r="N10" s="119">
        <f>+N7+N8+N9</f>
        <v>417.46400000000006</v>
      </c>
      <c r="O10" s="121">
        <v>828.60299999999995</v>
      </c>
      <c r="P10" s="119">
        <v>471.92399999999998</v>
      </c>
      <c r="Q10" s="121">
        <v>755.43</v>
      </c>
      <c r="R10" s="119">
        <v>320.49900000000002</v>
      </c>
      <c r="S10" s="121">
        <v>602.42499999999995</v>
      </c>
      <c r="T10" s="119">
        <v>284.32400000000001</v>
      </c>
      <c r="U10" s="121">
        <f>U7+U8+U9</f>
        <v>681.95400000000018</v>
      </c>
      <c r="V10" s="182">
        <v>363.49599999999998</v>
      </c>
      <c r="W10" s="150"/>
      <c r="X10" s="123">
        <f t="shared" si="0"/>
        <v>0.2784569716239218</v>
      </c>
      <c r="Y10" s="128"/>
    </row>
    <row r="11" spans="1:25" ht="24.95" customHeight="1">
      <c r="B11" s="3" t="s">
        <v>31</v>
      </c>
      <c r="C11" s="84">
        <v>-108</v>
      </c>
      <c r="D11" s="118">
        <v>-26.041</v>
      </c>
      <c r="E11" s="125">
        <v>-103.21</v>
      </c>
      <c r="F11" s="118">
        <v>-25.332999999999998</v>
      </c>
      <c r="G11" s="125">
        <v>-52.731000000000002</v>
      </c>
      <c r="H11" s="118">
        <v>-37.662999999999997</v>
      </c>
      <c r="I11" s="125">
        <v>-63.679000000000002</v>
      </c>
      <c r="J11" s="118">
        <v>-33.729999999999997</v>
      </c>
      <c r="K11" s="125">
        <v>-99</v>
      </c>
      <c r="L11" s="118">
        <v>-84.22</v>
      </c>
      <c r="M11" s="125">
        <v>-160.07</v>
      </c>
      <c r="N11" s="118">
        <v>-52.588999999999999</v>
      </c>
      <c r="O11" s="125">
        <v>-115.789</v>
      </c>
      <c r="P11" s="118">
        <v>-48.966999999999999</v>
      </c>
      <c r="Q11" s="125">
        <v>-136.006</v>
      </c>
      <c r="R11" s="118">
        <v>-54.447000000000003</v>
      </c>
      <c r="S11" s="125">
        <v>-94.344999999999999</v>
      </c>
      <c r="T11" s="118">
        <v>-75.930000000000007</v>
      </c>
      <c r="U11" s="125">
        <v>-179.89500000000001</v>
      </c>
      <c r="V11" s="181">
        <v>-87.39</v>
      </c>
      <c r="W11" s="154"/>
      <c r="X11" s="161">
        <f t="shared" si="0"/>
        <v>0.15092848676412474</v>
      </c>
      <c r="Y11" s="128"/>
    </row>
    <row r="12" spans="1:25" ht="24.95" customHeight="1">
      <c r="B12" s="8" t="s">
        <v>22</v>
      </c>
      <c r="C12" s="83">
        <v>437</v>
      </c>
      <c r="D12" s="119">
        <v>253.07599999999999</v>
      </c>
      <c r="E12" s="121">
        <v>466.48599999999999</v>
      </c>
      <c r="F12" s="119">
        <v>289.56299999999999</v>
      </c>
      <c r="G12" s="121">
        <v>609.50300000000004</v>
      </c>
      <c r="H12" s="119">
        <v>311.19</v>
      </c>
      <c r="I12" s="121">
        <v>568.601</v>
      </c>
      <c r="J12" s="119">
        <v>309.46199999999999</v>
      </c>
      <c r="K12" s="121">
        <v>626</v>
      </c>
      <c r="L12" s="119">
        <v>344.90499999999997</v>
      </c>
      <c r="M12" s="121">
        <v>504.43400000000003</v>
      </c>
      <c r="N12" s="119">
        <f>+N10+N11</f>
        <v>364.87500000000006</v>
      </c>
      <c r="O12" s="121">
        <v>712.81399999999996</v>
      </c>
      <c r="P12" s="119">
        <v>422.95699999999999</v>
      </c>
      <c r="Q12" s="121">
        <v>619.42399999999998</v>
      </c>
      <c r="R12" s="119">
        <v>266.05200000000002</v>
      </c>
      <c r="S12" s="121">
        <v>508.08</v>
      </c>
      <c r="T12" s="119">
        <v>208.4</v>
      </c>
      <c r="U12" s="121">
        <v>502.06400000000002</v>
      </c>
      <c r="V12" s="182">
        <v>276.10000000000002</v>
      </c>
      <c r="W12" s="150"/>
      <c r="X12" s="123">
        <f t="shared" si="0"/>
        <v>0.3248560460652592</v>
      </c>
      <c r="Y12" s="128"/>
    </row>
    <row r="13" spans="1:25" ht="24.95" customHeight="1">
      <c r="B13" s="4" t="s">
        <v>33</v>
      </c>
      <c r="C13" s="84">
        <v>4</v>
      </c>
      <c r="D13" s="118">
        <v>4.9589999999999996</v>
      </c>
      <c r="E13" s="125">
        <v>10.061999999999999</v>
      </c>
      <c r="F13" s="118">
        <v>1.6739999999999999</v>
      </c>
      <c r="G13" s="125">
        <v>23.919</v>
      </c>
      <c r="H13" s="118">
        <v>6.5460000000000003</v>
      </c>
      <c r="I13" s="125">
        <v>0.248</v>
      </c>
      <c r="J13" s="118">
        <f>0.434</f>
        <v>0.434</v>
      </c>
      <c r="K13" s="125">
        <v>-1.837</v>
      </c>
      <c r="L13" s="118">
        <v>1.165</v>
      </c>
      <c r="M13" s="125">
        <v>1.1000000000000001</v>
      </c>
      <c r="N13" s="118">
        <v>2.6440000000000001</v>
      </c>
      <c r="O13" s="125">
        <v>3.4253950301201397</v>
      </c>
      <c r="P13" s="118">
        <v>3.03019665999176</v>
      </c>
      <c r="Q13" s="125">
        <v>0.635496030672978</v>
      </c>
      <c r="R13" s="118">
        <v>1.117</v>
      </c>
      <c r="S13" s="125">
        <v>15.358000000000001</v>
      </c>
      <c r="T13" s="118">
        <v>5</v>
      </c>
      <c r="U13" s="125">
        <v>9.9317700000000002</v>
      </c>
      <c r="V13" s="181">
        <v>5</v>
      </c>
      <c r="W13" s="154"/>
      <c r="X13" s="161" t="s">
        <v>70</v>
      </c>
      <c r="Y13" s="128"/>
    </row>
    <row r="14" spans="1:25" ht="24.95" customHeight="1">
      <c r="B14" s="3" t="s">
        <v>0</v>
      </c>
      <c r="C14" s="84">
        <v>2</v>
      </c>
      <c r="D14" s="118">
        <v>-3.1829999999999998</v>
      </c>
      <c r="E14" s="125">
        <v>-3.3460000000000001</v>
      </c>
      <c r="F14" s="118">
        <v>-2.032</v>
      </c>
      <c r="G14" s="125">
        <v>-2.4289999999999998</v>
      </c>
      <c r="H14" s="118">
        <v>0.47399999999999998</v>
      </c>
      <c r="I14" s="125">
        <v>4.8289999999999997</v>
      </c>
      <c r="J14" s="118">
        <f>23.789</f>
        <v>23.789000000000001</v>
      </c>
      <c r="K14" s="125">
        <v>1.918512</v>
      </c>
      <c r="L14" s="118">
        <v>-2.0219999999999998</v>
      </c>
      <c r="M14" s="125">
        <v>-1.9530000000000001</v>
      </c>
      <c r="N14" s="118">
        <v>0.54100000000000004</v>
      </c>
      <c r="O14" s="125">
        <v>0.34899999999999998</v>
      </c>
      <c r="P14" s="118">
        <v>9.9380000000000006</v>
      </c>
      <c r="Q14" s="125">
        <v>87.113</v>
      </c>
      <c r="R14" s="118">
        <v>-0.50600000000000001</v>
      </c>
      <c r="S14" s="125">
        <v>29.797000000000001</v>
      </c>
      <c r="T14" s="118">
        <v>-2</v>
      </c>
      <c r="U14" s="125">
        <v>-1.0840000000000001</v>
      </c>
      <c r="V14" s="181">
        <v>0.3</v>
      </c>
      <c r="W14" s="154"/>
      <c r="X14" s="164" t="s">
        <v>70</v>
      </c>
      <c r="Y14" s="128"/>
    </row>
    <row r="15" spans="1:25" ht="24.95" customHeight="1">
      <c r="B15" s="3" t="s">
        <v>1</v>
      </c>
      <c r="C15" s="84">
        <v>0</v>
      </c>
      <c r="D15" s="118">
        <v>0</v>
      </c>
      <c r="E15" s="125">
        <v>0</v>
      </c>
      <c r="F15" s="118">
        <v>0</v>
      </c>
      <c r="G15" s="125">
        <v>0</v>
      </c>
      <c r="H15" s="118">
        <v>19.626000000000001</v>
      </c>
      <c r="I15" s="125">
        <v>19.548999999999999</v>
      </c>
      <c r="J15" s="118">
        <v>0</v>
      </c>
      <c r="K15" s="125">
        <v>0</v>
      </c>
      <c r="L15" s="118">
        <v>0</v>
      </c>
      <c r="M15" s="125">
        <v>-10.974</v>
      </c>
      <c r="N15" s="118">
        <v>0</v>
      </c>
      <c r="O15" s="125">
        <v>0</v>
      </c>
      <c r="P15" s="118">
        <v>0</v>
      </c>
      <c r="Q15" s="125">
        <v>-33.710999999999999</v>
      </c>
      <c r="R15" s="118">
        <v>0</v>
      </c>
      <c r="S15" s="125">
        <v>-10.968999999999999</v>
      </c>
      <c r="T15" s="118">
        <v>0</v>
      </c>
      <c r="U15" s="125">
        <v>-11</v>
      </c>
      <c r="V15" s="181">
        <v>0</v>
      </c>
      <c r="W15" s="154"/>
      <c r="X15" s="161" t="s">
        <v>70</v>
      </c>
      <c r="Y15" s="128"/>
    </row>
    <row r="16" spans="1:25" ht="24.95" customHeight="1">
      <c r="B16" s="3" t="s">
        <v>23</v>
      </c>
      <c r="C16" s="84">
        <v>-147</v>
      </c>
      <c r="D16" s="118">
        <v>-68.144000000000005</v>
      </c>
      <c r="E16" s="125">
        <v>-136.86600000000001</v>
      </c>
      <c r="F16" s="118">
        <v>-95.825999999999993</v>
      </c>
      <c r="G16" s="125">
        <v>-202.751</v>
      </c>
      <c r="H16" s="118">
        <v>-91.284999999999997</v>
      </c>
      <c r="I16" s="125">
        <v>-155.69499999999999</v>
      </c>
      <c r="J16" s="118">
        <v>-89.47</v>
      </c>
      <c r="K16" s="125">
        <v>-132</v>
      </c>
      <c r="L16" s="118">
        <v>-94.594999999999999</v>
      </c>
      <c r="M16" s="125">
        <v>-136.346</v>
      </c>
      <c r="N16" s="118">
        <v>-91.108999999999995</v>
      </c>
      <c r="O16" s="125">
        <v>-143.047</v>
      </c>
      <c r="P16" s="118">
        <v>-76.013999999999996</v>
      </c>
      <c r="Q16" s="125">
        <v>-122.053</v>
      </c>
      <c r="R16" s="118">
        <v>-63.284999999999997</v>
      </c>
      <c r="S16" s="125">
        <v>123.58499999999999</v>
      </c>
      <c r="T16" s="118">
        <v>-41.73</v>
      </c>
      <c r="U16" s="125">
        <v>-100.372</v>
      </c>
      <c r="V16" s="181">
        <v>-82.16</v>
      </c>
      <c r="W16" s="154"/>
      <c r="X16" s="161">
        <f t="shared" si="0"/>
        <v>0.96884735202492211</v>
      </c>
      <c r="Y16" s="128"/>
    </row>
    <row r="17" spans="2:26" ht="24.95" customHeight="1">
      <c r="B17" s="6" t="s">
        <v>24</v>
      </c>
      <c r="C17" s="85">
        <v>296</v>
      </c>
      <c r="D17" s="120">
        <v>186.708</v>
      </c>
      <c r="E17" s="126">
        <v>336.33600000000001</v>
      </c>
      <c r="F17" s="120">
        <v>193.37899999999999</v>
      </c>
      <c r="G17" s="126">
        <v>428.24200000000002</v>
      </c>
      <c r="H17" s="120">
        <v>246.55099999999999</v>
      </c>
      <c r="I17" s="126">
        <v>437.53199999999998</v>
      </c>
      <c r="J17" s="120">
        <v>244</v>
      </c>
      <c r="K17" s="126">
        <v>511</v>
      </c>
      <c r="L17" s="120">
        <v>249.453</v>
      </c>
      <c r="M17" s="126">
        <v>356.267</v>
      </c>
      <c r="N17" s="120">
        <f>+N12+N13+N14+N15+N16</f>
        <v>276.95100000000008</v>
      </c>
      <c r="O17" s="126">
        <v>573.54139503012016</v>
      </c>
      <c r="P17" s="120">
        <v>359.91119665999173</v>
      </c>
      <c r="Q17" s="126">
        <v>551.40849603067306</v>
      </c>
      <c r="R17" s="120">
        <v>203.37799999999999</v>
      </c>
      <c r="S17" s="126">
        <v>418.68099999999998</v>
      </c>
      <c r="T17" s="120">
        <v>169.49</v>
      </c>
      <c r="U17" s="126">
        <v>399.53976999999998</v>
      </c>
      <c r="V17" s="183">
        <v>199.3</v>
      </c>
      <c r="W17" s="154"/>
      <c r="X17" s="162">
        <f t="shared" si="0"/>
        <v>0.17588058292524633</v>
      </c>
      <c r="Y17" s="128"/>
    </row>
    <row r="18" spans="2:26" ht="24.95" customHeight="1">
      <c r="B18" s="10" t="s">
        <v>25</v>
      </c>
      <c r="C18" s="83">
        <v>296</v>
      </c>
      <c r="D18" s="121">
        <v>186.69800000000001</v>
      </c>
      <c r="E18" s="121">
        <v>336.18700000000001</v>
      </c>
      <c r="F18" s="121">
        <v>193.262</v>
      </c>
      <c r="G18" s="121">
        <v>428.12099999999998</v>
      </c>
      <c r="H18" s="121">
        <v>246.511</v>
      </c>
      <c r="I18" s="121">
        <v>437.28800000000001</v>
      </c>
      <c r="J18" s="121">
        <v>244.35900000000001</v>
      </c>
      <c r="K18" s="121">
        <v>511</v>
      </c>
      <c r="L18" s="121">
        <v>249.46</v>
      </c>
      <c r="M18" s="121">
        <v>356.24099999999999</v>
      </c>
      <c r="N18" s="121">
        <v>277.05799999999999</v>
      </c>
      <c r="O18" s="121">
        <v>573.72335194326729</v>
      </c>
      <c r="P18" s="121">
        <v>359.91951973167357</v>
      </c>
      <c r="Q18" s="121">
        <v>550.71213185887007</v>
      </c>
      <c r="R18" s="121">
        <v>202.60400000000001</v>
      </c>
      <c r="S18" s="121">
        <v>416.75</v>
      </c>
      <c r="T18" s="121">
        <v>167.44</v>
      </c>
      <c r="U18" s="121">
        <v>395.15429999999998</v>
      </c>
      <c r="V18" s="121">
        <v>195.98</v>
      </c>
      <c r="W18" s="150"/>
      <c r="X18" s="127">
        <f t="shared" si="0"/>
        <v>0.17044911610128999</v>
      </c>
      <c r="Y18" s="128"/>
    </row>
    <row r="19" spans="2:26">
      <c r="B19" s="5"/>
      <c r="C19" s="82"/>
      <c r="D19" s="122"/>
      <c r="E19" s="122"/>
      <c r="F19" s="122"/>
      <c r="G19" s="122"/>
      <c r="H19" s="122"/>
      <c r="I19" s="122"/>
      <c r="J19" s="122"/>
      <c r="K19" s="122"/>
      <c r="L19" s="122"/>
      <c r="M19" s="122"/>
      <c r="N19" s="122"/>
      <c r="O19" s="122"/>
      <c r="P19" s="122"/>
      <c r="Q19" s="122"/>
      <c r="R19" s="122"/>
      <c r="S19" s="122"/>
      <c r="T19" s="122"/>
      <c r="U19" s="122"/>
      <c r="V19" s="184"/>
      <c r="W19" s="155"/>
      <c r="X19" s="82"/>
    </row>
    <row r="20" spans="2:26" ht="24.95" customHeight="1">
      <c r="B20" s="8" t="s">
        <v>34</v>
      </c>
      <c r="C20" s="86">
        <v>0.69516310461192354</v>
      </c>
      <c r="D20" s="123">
        <v>0.70193341698480927</v>
      </c>
      <c r="E20" s="127">
        <v>0.69238677572424867</v>
      </c>
      <c r="F20" s="123">
        <v>0.68597259978898373</v>
      </c>
      <c r="G20" s="127">
        <v>0.68308188242185353</v>
      </c>
      <c r="H20" s="123">
        <v>0.67771102424837615</v>
      </c>
      <c r="I20" s="127">
        <v>0.70534135207998871</v>
      </c>
      <c r="J20" s="123">
        <v>0.69242562724014334</v>
      </c>
      <c r="K20" s="127">
        <v>0.68500000000000005</v>
      </c>
      <c r="L20" s="123">
        <f>-(L8+L9)/L7</f>
        <v>0.60861507423658845</v>
      </c>
      <c r="M20" s="127">
        <f>-(M8+M9)/M7</f>
        <v>0.69200560086729079</v>
      </c>
      <c r="N20" s="123">
        <f>-(N8+N9)/N7</f>
        <v>0.65895247307330329</v>
      </c>
      <c r="O20" s="127">
        <f>-(O8+O9)/O7</f>
        <v>0.67257305435362458</v>
      </c>
      <c r="P20" s="123">
        <v>0.64848814387492504</v>
      </c>
      <c r="Q20" s="127">
        <f>-(Q8+Q9)/Q7</f>
        <v>0.70591636880845687</v>
      </c>
      <c r="R20" s="123">
        <v>0.71399999999999997</v>
      </c>
      <c r="S20" s="127">
        <f>-(S8+S9)/S7</f>
        <v>0.71831031980649107</v>
      </c>
      <c r="T20" s="123">
        <f>-(T8+T9)/T7</f>
        <v>0.72856796468692475</v>
      </c>
      <c r="U20" s="127">
        <f>-(U8+U9)/U7</f>
        <v>0.68768207371108636</v>
      </c>
      <c r="V20" s="185">
        <f>-(V8+V9)/V7</f>
        <v>0.68344509274579812</v>
      </c>
      <c r="W20" s="156"/>
      <c r="X20" s="159" t="s">
        <v>71</v>
      </c>
      <c r="Y20" s="158"/>
      <c r="Z20" s="163"/>
    </row>
    <row r="21" spans="2:26">
      <c r="C21" s="102"/>
      <c r="D21" s="102"/>
      <c r="E21" s="102"/>
      <c r="F21" s="102"/>
      <c r="G21" s="102"/>
      <c r="H21" s="102"/>
      <c r="I21" s="147"/>
      <c r="J21" s="102"/>
      <c r="L21" s="146"/>
      <c r="M21" s="146"/>
      <c r="N21" s="146"/>
      <c r="O21" s="146"/>
      <c r="P21" s="146"/>
      <c r="Q21" s="146"/>
      <c r="R21" s="146"/>
      <c r="S21" s="146"/>
      <c r="T21" s="146"/>
      <c r="U21" s="146"/>
      <c r="V21" s="146"/>
      <c r="W21" s="157"/>
      <c r="X21" s="158"/>
    </row>
    <row r="22" spans="2:26" ht="30" customHeight="1">
      <c r="B22" s="176" t="s">
        <v>68</v>
      </c>
      <c r="C22" s="176"/>
      <c r="D22" s="176"/>
      <c r="E22" s="176"/>
      <c r="F22" s="176"/>
      <c r="G22" s="176"/>
      <c r="H22" s="176"/>
      <c r="I22" s="176"/>
      <c r="J22" s="176"/>
      <c r="K22" s="176"/>
      <c r="L22" s="176"/>
      <c r="M22" s="176"/>
      <c r="N22" s="176"/>
      <c r="O22" s="176"/>
      <c r="P22" s="176"/>
      <c r="Q22" s="176"/>
      <c r="R22" s="176"/>
      <c r="S22" s="176"/>
      <c r="T22" s="176"/>
      <c r="U22" s="176"/>
      <c r="V22" s="176"/>
      <c r="W22" s="176"/>
      <c r="X22" s="176"/>
      <c r="Y22" s="158"/>
    </row>
  </sheetData>
  <mergeCells count="2">
    <mergeCell ref="B22:X22"/>
    <mergeCell ref="R3:V3"/>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2"/>
  <sheetViews>
    <sheetView showGridLines="0" topLeftCell="B1" zoomScaleNormal="100" zoomScaleSheetLayoutView="100" workbookViewId="0">
      <selection activeCell="Y1" sqref="Y1:Y1048576"/>
    </sheetView>
  </sheetViews>
  <sheetFormatPr baseColWidth="10" defaultColWidth="11.42578125" defaultRowHeight="12.75" outlineLevelCol="1"/>
  <cols>
    <col min="1" max="1" width="2.7109375" style="35" customWidth="1"/>
    <col min="2" max="2" width="55.140625" style="35" customWidth="1"/>
    <col min="3" max="3" width="12" style="35" hidden="1" customWidth="1" outlineLevel="1"/>
    <col min="4" max="7" width="10.7109375" style="35" hidden="1" customWidth="1" outlineLevel="1"/>
    <col min="8" max="8" width="2.85546875" style="54" customWidth="1" collapsed="1"/>
    <col min="9" max="17" width="10.7109375" style="35" customWidth="1"/>
    <col min="18" max="19" width="11.42578125" style="35"/>
    <col min="20" max="20" width="1.85546875" style="35" customWidth="1"/>
    <col min="21" max="16384" width="11.42578125" style="35"/>
  </cols>
  <sheetData>
    <row r="1" spans="1:25" s="5" customFormat="1" ht="19.899999999999999" customHeight="1">
      <c r="A1" s="1"/>
      <c r="B1" s="1"/>
      <c r="H1" s="55"/>
    </row>
    <row r="2" spans="1:25" s="5" customFormat="1" ht="19.899999999999999" customHeight="1">
      <c r="A2" s="1"/>
      <c r="B2" s="1"/>
      <c r="H2" s="55"/>
    </row>
    <row r="3" spans="1:25" s="5" customFormat="1" ht="19.899999999999999" customHeight="1">
      <c r="A3" s="1"/>
      <c r="B3" s="1"/>
      <c r="H3" s="55"/>
    </row>
    <row r="4" spans="1:25" s="5" customFormat="1" ht="34.9" customHeight="1">
      <c r="B4" s="28" t="s">
        <v>45</v>
      </c>
      <c r="H4" s="55"/>
    </row>
    <row r="5" spans="1:25" s="5" customFormat="1" ht="19.899999999999999" customHeight="1">
      <c r="B5" s="28"/>
      <c r="C5" s="177" t="s">
        <v>46</v>
      </c>
      <c r="D5" s="177"/>
      <c r="E5" s="177"/>
      <c r="F5" s="177"/>
      <c r="G5" s="177"/>
      <c r="H5" s="56"/>
      <c r="I5" s="177" t="s">
        <v>47</v>
      </c>
      <c r="J5" s="177"/>
      <c r="K5" s="177"/>
      <c r="L5" s="177"/>
      <c r="M5" s="177"/>
      <c r="N5" s="177"/>
      <c r="O5" s="177"/>
      <c r="P5" s="177"/>
      <c r="Q5" s="177"/>
      <c r="R5" s="177"/>
      <c r="S5" s="177"/>
      <c r="U5" s="177" t="s">
        <v>65</v>
      </c>
      <c r="V5" s="177"/>
      <c r="W5" s="177"/>
      <c r="X5" s="177"/>
      <c r="Y5" s="177"/>
    </row>
    <row r="6" spans="1:25" s="30" customFormat="1" ht="10.15" customHeight="1">
      <c r="B6" s="28"/>
      <c r="C6" s="31"/>
      <c r="D6" s="31"/>
      <c r="E6" s="31"/>
      <c r="F6" s="31"/>
      <c r="G6" s="31"/>
      <c r="H6" s="57"/>
    </row>
    <row r="7" spans="1:25" s="13" customFormat="1" ht="30" customHeight="1">
      <c r="B7" s="9" t="s">
        <v>48</v>
      </c>
      <c r="C7" s="29">
        <v>42339</v>
      </c>
      <c r="D7" s="29">
        <v>42522</v>
      </c>
      <c r="E7" s="29">
        <v>42705</v>
      </c>
      <c r="F7" s="29">
        <v>42887</v>
      </c>
      <c r="G7" s="29">
        <v>43070</v>
      </c>
      <c r="H7" s="58"/>
      <c r="I7" s="29">
        <v>43101</v>
      </c>
      <c r="J7" s="29">
        <v>43252</v>
      </c>
      <c r="K7" s="29">
        <v>43435</v>
      </c>
      <c r="L7" s="29">
        <v>43617</v>
      </c>
      <c r="M7" s="29">
        <v>43800</v>
      </c>
      <c r="N7" s="29">
        <v>43983</v>
      </c>
      <c r="O7" s="29">
        <v>44166</v>
      </c>
      <c r="P7" s="29">
        <v>44348</v>
      </c>
      <c r="Q7" s="29">
        <v>44531</v>
      </c>
      <c r="R7" s="29">
        <v>44713</v>
      </c>
      <c r="S7" s="29">
        <v>44896</v>
      </c>
      <c r="U7" s="29">
        <v>45078</v>
      </c>
      <c r="V7" s="29">
        <v>45261</v>
      </c>
      <c r="W7" s="29">
        <v>45444</v>
      </c>
      <c r="X7" s="29">
        <v>45627</v>
      </c>
      <c r="Y7" s="29">
        <v>45809</v>
      </c>
    </row>
    <row r="8" spans="1:25" s="32" customFormat="1" ht="15" customHeight="1">
      <c r="B8" s="33"/>
      <c r="C8" s="31"/>
      <c r="D8" s="31"/>
      <c r="E8" s="31"/>
      <c r="F8" s="31"/>
      <c r="G8" s="31"/>
      <c r="H8" s="61"/>
      <c r="I8" s="31"/>
      <c r="J8" s="31"/>
      <c r="K8" s="34"/>
      <c r="L8" s="31"/>
      <c r="M8" s="34"/>
      <c r="N8" s="31"/>
      <c r="O8" s="31"/>
      <c r="P8" s="31"/>
      <c r="Q8" s="31"/>
      <c r="R8" s="31"/>
      <c r="S8" s="31"/>
      <c r="U8" s="31"/>
      <c r="V8" s="31"/>
      <c r="W8" s="31"/>
      <c r="X8" s="31"/>
      <c r="Y8" s="31"/>
    </row>
    <row r="9" spans="1:25" s="13" customFormat="1" ht="24.95" customHeight="1">
      <c r="B9" s="16" t="s">
        <v>6</v>
      </c>
      <c r="C9" s="41">
        <v>2113</v>
      </c>
      <c r="D9" s="50">
        <v>1827</v>
      </c>
      <c r="E9" s="41">
        <v>3617</v>
      </c>
      <c r="F9" s="50">
        <v>2938</v>
      </c>
      <c r="G9" s="44">
        <f>4182765/1000</f>
        <v>4182.7650000000003</v>
      </c>
      <c r="H9" s="62"/>
      <c r="I9" s="129">
        <v>4183</v>
      </c>
      <c r="J9" s="44">
        <v>4168</v>
      </c>
      <c r="K9" s="132">
        <v>3236.5880000000002</v>
      </c>
      <c r="L9" s="112">
        <v>6148</v>
      </c>
      <c r="M9" s="132">
        <v>10084</v>
      </c>
      <c r="N9" s="112">
        <v>14511.522999999999</v>
      </c>
      <c r="O9" s="132">
        <v>12901.851000000001</v>
      </c>
      <c r="P9" s="112">
        <v>14230.347</v>
      </c>
      <c r="Q9" s="132">
        <v>15835.673000000001</v>
      </c>
      <c r="R9" s="112">
        <v>13427.709000000001</v>
      </c>
      <c r="S9" s="132">
        <v>23453.717000000001</v>
      </c>
      <c r="U9" s="112">
        <v>13887.438</v>
      </c>
      <c r="V9" s="132">
        <v>13579.656000000001</v>
      </c>
      <c r="W9" s="112">
        <v>8676</v>
      </c>
      <c r="X9" s="132">
        <v>10232.249</v>
      </c>
      <c r="Y9" s="112">
        <v>6496</v>
      </c>
    </row>
    <row r="10" spans="1:25" s="13" customFormat="1" ht="24.95" customHeight="1">
      <c r="B10" s="16" t="s">
        <v>7</v>
      </c>
      <c r="C10" s="41">
        <v>14689</v>
      </c>
      <c r="D10" s="50">
        <v>16659</v>
      </c>
      <c r="E10" s="41">
        <v>18370</v>
      </c>
      <c r="F10" s="50">
        <v>22580</v>
      </c>
      <c r="G10" s="44">
        <v>22982</v>
      </c>
      <c r="H10" s="62"/>
      <c r="I10" s="129">
        <v>1121</v>
      </c>
      <c r="J10" s="44">
        <v>1023</v>
      </c>
      <c r="K10" s="132">
        <v>1179.2629999999999</v>
      </c>
      <c r="L10" s="112">
        <v>1420</v>
      </c>
      <c r="M10" s="132">
        <v>1481</v>
      </c>
      <c r="N10" s="112">
        <v>1482.925</v>
      </c>
      <c r="O10" s="132">
        <v>1476.2829999999999</v>
      </c>
      <c r="P10" s="112">
        <v>1441.24</v>
      </c>
      <c r="Q10" s="132">
        <v>1515.229</v>
      </c>
      <c r="R10" s="112">
        <v>1945.6610000000001</v>
      </c>
      <c r="S10" s="132">
        <v>2175.3310000000001</v>
      </c>
      <c r="U10" s="112">
        <v>2025.846</v>
      </c>
      <c r="V10" s="132">
        <v>1875.7249999999999</v>
      </c>
      <c r="W10" s="112">
        <v>1962</v>
      </c>
      <c r="X10" s="132">
        <v>1896.5889999999999</v>
      </c>
      <c r="Y10" s="112">
        <v>2004</v>
      </c>
    </row>
    <row r="11" spans="1:25" s="13" customFormat="1" ht="24.95" customHeight="1">
      <c r="B11" s="15" t="s">
        <v>8</v>
      </c>
      <c r="C11" s="42">
        <v>814</v>
      </c>
      <c r="D11" s="51">
        <v>928</v>
      </c>
      <c r="E11" s="42">
        <v>833</v>
      </c>
      <c r="F11" s="51">
        <v>702</v>
      </c>
      <c r="G11" s="45">
        <v>685.923</v>
      </c>
      <c r="H11" s="62"/>
      <c r="I11" s="130">
        <v>686</v>
      </c>
      <c r="J11" s="45">
        <v>664</v>
      </c>
      <c r="K11" s="133">
        <v>692.56399999999996</v>
      </c>
      <c r="L11" s="113">
        <v>1053</v>
      </c>
      <c r="M11" s="133">
        <v>1082</v>
      </c>
      <c r="N11" s="113">
        <v>1111.175</v>
      </c>
      <c r="O11" s="133">
        <v>1128.825</v>
      </c>
      <c r="P11" s="113">
        <v>907.95</v>
      </c>
      <c r="Q11" s="133">
        <v>941.73299999999995</v>
      </c>
      <c r="R11" s="113">
        <v>3446.873</v>
      </c>
      <c r="S11" s="132">
        <v>5365.0230000000001</v>
      </c>
      <c r="U11" s="113">
        <v>5021.7</v>
      </c>
      <c r="V11" s="132">
        <v>3945.2779999999998</v>
      </c>
      <c r="W11" s="113">
        <v>4077</v>
      </c>
      <c r="X11" s="132">
        <v>3292.6419999999998</v>
      </c>
      <c r="Y11" s="113">
        <v>3107</v>
      </c>
    </row>
    <row r="12" spans="1:25" s="13" customFormat="1" ht="24.95" customHeight="1">
      <c r="B12" s="16" t="s">
        <v>9</v>
      </c>
      <c r="C12" s="41" t="s">
        <v>18</v>
      </c>
      <c r="D12" s="50" t="s">
        <v>18</v>
      </c>
      <c r="E12" s="41" t="s">
        <v>18</v>
      </c>
      <c r="F12" s="50" t="s">
        <v>18</v>
      </c>
      <c r="G12" s="44" t="s">
        <v>18</v>
      </c>
      <c r="H12" s="62"/>
      <c r="I12" s="129">
        <v>10608</v>
      </c>
      <c r="J12" s="44">
        <v>10013</v>
      </c>
      <c r="K12" s="132">
        <v>11323.695</v>
      </c>
      <c r="L12" s="112">
        <v>9742</v>
      </c>
      <c r="M12" s="132">
        <v>9655</v>
      </c>
      <c r="N12" s="112">
        <v>13038.887000000001</v>
      </c>
      <c r="O12" s="132">
        <v>11922.563</v>
      </c>
      <c r="P12" s="112">
        <v>10467.884</v>
      </c>
      <c r="Q12" s="132">
        <v>9438.2860000000001</v>
      </c>
      <c r="R12" s="112">
        <v>9117.3649999999998</v>
      </c>
      <c r="S12" s="132">
        <v>7322.7190000000001</v>
      </c>
      <c r="U12" s="112">
        <v>8333.6990000000005</v>
      </c>
      <c r="V12" s="132">
        <v>8928.7929999999997</v>
      </c>
      <c r="W12" s="112">
        <v>10449</v>
      </c>
      <c r="X12" s="132">
        <v>11647.947</v>
      </c>
      <c r="Y12" s="112">
        <v>13386</v>
      </c>
    </row>
    <row r="13" spans="1:25" s="13" customFormat="1" ht="24.95" customHeight="1">
      <c r="B13" s="15" t="s">
        <v>10</v>
      </c>
      <c r="C13" s="42">
        <v>36268</v>
      </c>
      <c r="D13" s="51">
        <v>39823</v>
      </c>
      <c r="E13" s="42">
        <v>38973</v>
      </c>
      <c r="F13" s="51">
        <v>38996</v>
      </c>
      <c r="G13" s="45">
        <v>38031</v>
      </c>
      <c r="H13" s="62"/>
      <c r="I13" s="130" t="s">
        <v>18</v>
      </c>
      <c r="J13" s="45" t="s">
        <v>18</v>
      </c>
      <c r="K13" s="133" t="s">
        <v>18</v>
      </c>
      <c r="L13" s="113" t="s">
        <v>18</v>
      </c>
      <c r="M13" s="133" t="s">
        <v>18</v>
      </c>
      <c r="N13" s="113">
        <v>0</v>
      </c>
      <c r="O13" s="133" t="s">
        <v>18</v>
      </c>
      <c r="P13" s="113">
        <v>0</v>
      </c>
      <c r="Q13" s="133" t="s">
        <v>18</v>
      </c>
      <c r="R13" s="113">
        <v>0</v>
      </c>
      <c r="S13" s="133" t="s">
        <v>18</v>
      </c>
      <c r="U13" s="113">
        <v>0</v>
      </c>
      <c r="V13" s="133" t="s">
        <v>18</v>
      </c>
      <c r="W13" s="113" t="s">
        <v>18</v>
      </c>
      <c r="X13" s="133" t="s">
        <v>18</v>
      </c>
      <c r="Y13" s="113" t="s">
        <v>18</v>
      </c>
    </row>
    <row r="14" spans="1:25" s="13" customFormat="1" ht="24.95" customHeight="1">
      <c r="B14" s="16" t="s">
        <v>11</v>
      </c>
      <c r="C14" s="41" t="s">
        <v>18</v>
      </c>
      <c r="D14" s="50" t="s">
        <v>18</v>
      </c>
      <c r="E14" s="41" t="s">
        <v>18</v>
      </c>
      <c r="F14" s="50" t="s">
        <v>18</v>
      </c>
      <c r="G14" s="44" t="s">
        <v>18</v>
      </c>
      <c r="H14" s="62"/>
      <c r="I14" s="129">
        <v>158</v>
      </c>
      <c r="J14" s="44">
        <v>149</v>
      </c>
      <c r="K14" s="132">
        <v>163.94900000000001</v>
      </c>
      <c r="L14" s="112">
        <v>440</v>
      </c>
      <c r="M14" s="132">
        <v>635</v>
      </c>
      <c r="N14" s="112">
        <v>662.01599999999996</v>
      </c>
      <c r="O14" s="132">
        <v>640.78700000000003</v>
      </c>
      <c r="P14" s="112">
        <v>636.89599999999996</v>
      </c>
      <c r="Q14" s="132">
        <v>632.29</v>
      </c>
      <c r="R14" s="112">
        <v>591.78300000000002</v>
      </c>
      <c r="S14" s="132">
        <v>569.48900000000003</v>
      </c>
      <c r="U14" s="112">
        <v>591.34699999999998</v>
      </c>
      <c r="V14" s="132">
        <v>671.10699999999997</v>
      </c>
      <c r="W14" s="112">
        <v>986</v>
      </c>
      <c r="X14" s="132">
        <v>1548.4580000000001</v>
      </c>
      <c r="Y14" s="112">
        <v>1587</v>
      </c>
    </row>
    <row r="15" spans="1:25" s="13" customFormat="1" ht="24.95" customHeight="1">
      <c r="B15" s="17" t="s">
        <v>12</v>
      </c>
      <c r="C15" s="42">
        <v>7040</v>
      </c>
      <c r="D15" s="51">
        <v>8547</v>
      </c>
      <c r="E15" s="42">
        <v>6944</v>
      </c>
      <c r="F15" s="51">
        <v>7346</v>
      </c>
      <c r="G15" s="45">
        <v>7259</v>
      </c>
      <c r="H15" s="62"/>
      <c r="I15" s="130">
        <v>7600</v>
      </c>
      <c r="J15" s="45">
        <v>8379</v>
      </c>
      <c r="K15" s="133">
        <v>8986.8330000000005</v>
      </c>
      <c r="L15" s="112">
        <v>9721</v>
      </c>
      <c r="M15" s="133">
        <v>9785</v>
      </c>
      <c r="N15" s="112">
        <v>11755.823</v>
      </c>
      <c r="O15" s="133">
        <v>14791.361999999999</v>
      </c>
      <c r="P15" s="112">
        <v>16374.646000000001</v>
      </c>
      <c r="Q15" s="133">
        <v>15207.861999999999</v>
      </c>
      <c r="R15" s="112">
        <v>15539.88</v>
      </c>
      <c r="S15" s="133">
        <v>12044.954</v>
      </c>
      <c r="U15" s="112">
        <v>12638.044</v>
      </c>
      <c r="V15" s="133">
        <v>14030.826999999999</v>
      </c>
      <c r="W15" s="112">
        <v>14901</v>
      </c>
      <c r="X15" s="133">
        <v>14201.191000000001</v>
      </c>
      <c r="Y15" s="112">
        <v>14840</v>
      </c>
    </row>
    <row r="16" spans="1:25" s="13" customFormat="1" ht="24.95" customHeight="1">
      <c r="B16" s="16" t="s">
        <v>19</v>
      </c>
      <c r="C16" s="41">
        <v>44368</v>
      </c>
      <c r="D16" s="50">
        <v>46005</v>
      </c>
      <c r="E16" s="41">
        <v>46656</v>
      </c>
      <c r="F16" s="50">
        <v>48175</v>
      </c>
      <c r="G16" s="44">
        <v>50483</v>
      </c>
      <c r="H16" s="62"/>
      <c r="I16" s="129">
        <v>50136</v>
      </c>
      <c r="J16" s="44">
        <v>52825</v>
      </c>
      <c r="K16" s="132">
        <v>55574.536</v>
      </c>
      <c r="L16" s="72">
        <v>59053</v>
      </c>
      <c r="M16" s="132">
        <v>62445</v>
      </c>
      <c r="N16" s="72">
        <v>64502.065000000002</v>
      </c>
      <c r="O16" s="132">
        <v>67250.857000000004</v>
      </c>
      <c r="P16" s="72">
        <v>69616.737999999998</v>
      </c>
      <c r="Q16" s="132">
        <v>73250.953999999998</v>
      </c>
      <c r="R16" s="72">
        <v>77455.86</v>
      </c>
      <c r="S16" s="132">
        <v>81178.096000000005</v>
      </c>
      <c r="U16" s="72">
        <v>83953.995999999999</v>
      </c>
      <c r="V16" s="132">
        <v>86908.941000000006</v>
      </c>
      <c r="W16" s="72">
        <v>88598</v>
      </c>
      <c r="X16" s="132">
        <v>90382.061000000002</v>
      </c>
      <c r="Y16" s="72">
        <v>92006</v>
      </c>
    </row>
    <row r="17" spans="2:25" s="13" customFormat="1" ht="24.95" customHeight="1">
      <c r="B17" s="74" t="s">
        <v>13</v>
      </c>
      <c r="C17" s="72">
        <v>327</v>
      </c>
      <c r="D17" s="73">
        <v>449</v>
      </c>
      <c r="E17" s="72">
        <v>363</v>
      </c>
      <c r="F17" s="73">
        <v>22</v>
      </c>
      <c r="G17" s="76">
        <v>265</v>
      </c>
      <c r="H17" s="62"/>
      <c r="I17" s="129">
        <v>265</v>
      </c>
      <c r="J17" s="76">
        <v>262</v>
      </c>
      <c r="K17" s="134">
        <v>299</v>
      </c>
      <c r="L17" s="114">
        <v>774</v>
      </c>
      <c r="M17" s="134">
        <v>791</v>
      </c>
      <c r="N17" s="114">
        <v>928.26300000000003</v>
      </c>
      <c r="O17" s="134">
        <v>933.84900000000005</v>
      </c>
      <c r="P17" s="114">
        <v>709.06899999999996</v>
      </c>
      <c r="Q17" s="134">
        <v>621.69799999999998</v>
      </c>
      <c r="R17" s="114">
        <v>1485.848</v>
      </c>
      <c r="S17" s="134">
        <v>-4501.9960000000001</v>
      </c>
      <c r="U17" s="114">
        <v>-4242.2520000000004</v>
      </c>
      <c r="V17" s="134">
        <v>-2647.1680000000001</v>
      </c>
      <c r="W17" s="114">
        <v>-3204</v>
      </c>
      <c r="X17" s="134">
        <v>-1760.9739999999999</v>
      </c>
      <c r="Y17" s="114">
        <v>-1930</v>
      </c>
    </row>
    <row r="18" spans="2:25" s="13" customFormat="1" ht="24.95" customHeight="1">
      <c r="B18" s="52" t="s">
        <v>14</v>
      </c>
      <c r="C18" s="41">
        <v>152</v>
      </c>
      <c r="D18" s="66">
        <v>142</v>
      </c>
      <c r="E18" s="71">
        <v>117</v>
      </c>
      <c r="F18" s="66">
        <v>106</v>
      </c>
      <c r="G18" s="44">
        <v>101</v>
      </c>
      <c r="H18" s="62"/>
      <c r="I18" s="129" t="s">
        <v>18</v>
      </c>
      <c r="J18" s="44" t="s">
        <v>18</v>
      </c>
      <c r="K18" s="132" t="s">
        <v>18</v>
      </c>
      <c r="L18" s="112" t="s">
        <v>18</v>
      </c>
      <c r="M18" s="132" t="s">
        <v>18</v>
      </c>
      <c r="N18" s="112">
        <v>0</v>
      </c>
      <c r="O18" s="132" t="s">
        <v>18</v>
      </c>
      <c r="P18" s="112" t="s">
        <v>18</v>
      </c>
      <c r="Q18" s="132" t="s">
        <v>18</v>
      </c>
      <c r="R18" s="112">
        <v>0</v>
      </c>
      <c r="S18" s="132" t="s">
        <v>18</v>
      </c>
      <c r="U18" s="112">
        <v>0</v>
      </c>
      <c r="V18" s="132" t="s">
        <v>18</v>
      </c>
      <c r="W18" s="112" t="s">
        <v>18</v>
      </c>
      <c r="X18" s="132" t="s">
        <v>18</v>
      </c>
      <c r="Y18" s="112" t="s">
        <v>18</v>
      </c>
    </row>
    <row r="19" spans="2:25" s="13" customFormat="1" ht="24.95" customHeight="1">
      <c r="B19" s="74" t="s">
        <v>15</v>
      </c>
      <c r="C19" s="72" t="s">
        <v>18</v>
      </c>
      <c r="D19" s="50" t="s">
        <v>18</v>
      </c>
      <c r="E19" s="41" t="s">
        <v>18</v>
      </c>
      <c r="F19" s="50" t="s">
        <v>18</v>
      </c>
      <c r="G19" s="76" t="s">
        <v>18</v>
      </c>
      <c r="H19" s="62"/>
      <c r="I19" s="131">
        <v>50600</v>
      </c>
      <c r="J19" s="76">
        <v>52396</v>
      </c>
      <c r="K19" s="134">
        <v>50190</v>
      </c>
      <c r="L19" s="114">
        <v>55947</v>
      </c>
      <c r="M19" s="134">
        <v>58172</v>
      </c>
      <c r="N19" s="114">
        <v>53372.12</v>
      </c>
      <c r="O19" s="134">
        <v>55304.241999999998</v>
      </c>
      <c r="P19" s="114">
        <v>57430.392999999996</v>
      </c>
      <c r="Q19" s="134">
        <v>58775.76</v>
      </c>
      <c r="R19" s="114">
        <v>55847.425000000003</v>
      </c>
      <c r="S19" s="134">
        <v>56731.46</v>
      </c>
      <c r="U19" s="114">
        <v>59080.534</v>
      </c>
      <c r="V19" s="134">
        <v>60425.249000000003</v>
      </c>
      <c r="W19" s="114">
        <v>60900</v>
      </c>
      <c r="X19" s="134">
        <v>63416.974000000002</v>
      </c>
      <c r="Y19" s="114">
        <v>64400</v>
      </c>
    </row>
    <row r="20" spans="2:25" s="13" customFormat="1" ht="24.95" customHeight="1">
      <c r="B20" s="74" t="s">
        <v>53</v>
      </c>
      <c r="C20" s="72">
        <v>2740</v>
      </c>
      <c r="D20" s="73">
        <v>3007</v>
      </c>
      <c r="E20" s="72">
        <v>2783</v>
      </c>
      <c r="F20" s="73">
        <v>2452</v>
      </c>
      <c r="G20" s="76">
        <v>2625</v>
      </c>
      <c r="H20" s="103"/>
      <c r="I20" s="131">
        <v>1569</v>
      </c>
      <c r="J20" s="76">
        <v>1601</v>
      </c>
      <c r="K20" s="134">
        <v>1887</v>
      </c>
      <c r="L20" s="114">
        <v>1643</v>
      </c>
      <c r="M20" s="134">
        <v>1500</v>
      </c>
      <c r="N20" s="114">
        <f>137.013+160.674+1339.464+92.982+156.797</f>
        <v>1886.9299999999998</v>
      </c>
      <c r="O20" s="134">
        <f>174.3+145.059+951.587+94.958+167.698</f>
        <v>1533.6020000000001</v>
      </c>
      <c r="P20" s="114">
        <v>1564.483597274148</v>
      </c>
      <c r="Q20" s="134">
        <v>1508.3338842035259</v>
      </c>
      <c r="R20" s="114">
        <v>2043.610401784865</v>
      </c>
      <c r="S20" s="134">
        <v>3300.7236974141911</v>
      </c>
      <c r="U20" s="114">
        <f>(151248+187642+177274+866235+3430+218871)/1000</f>
        <v>1604.7</v>
      </c>
      <c r="V20" s="134">
        <f>(217.365+206.54+173.674+1488.073+238.886)</f>
        <v>2324.538</v>
      </c>
      <c r="W20" s="114">
        <f>(193+243+176+1475+243)</f>
        <v>2330</v>
      </c>
      <c r="X20" s="134">
        <v>1826.43</v>
      </c>
      <c r="Y20" s="114">
        <v>2117</v>
      </c>
    </row>
    <row r="21" spans="2:25" s="13" customFormat="1" ht="24.95" customHeight="1">
      <c r="B21" s="74" t="s">
        <v>60</v>
      </c>
      <c r="C21" s="72">
        <v>1153</v>
      </c>
      <c r="D21" s="73">
        <v>1223</v>
      </c>
      <c r="E21" s="72">
        <v>1196</v>
      </c>
      <c r="F21" s="73">
        <v>1207</v>
      </c>
      <c r="G21" s="76">
        <v>1196</v>
      </c>
      <c r="H21" s="62"/>
      <c r="I21" s="131">
        <v>850</v>
      </c>
      <c r="J21" s="76">
        <v>849</v>
      </c>
      <c r="K21" s="134">
        <v>848</v>
      </c>
      <c r="L21" s="114">
        <v>932</v>
      </c>
      <c r="M21" s="134">
        <v>945</v>
      </c>
      <c r="N21" s="114">
        <f>131.686+330.07+458.689</f>
        <v>920.44499999999994</v>
      </c>
      <c r="O21" s="134">
        <f>127.487+336.643+477.403</f>
        <v>941.53300000000002</v>
      </c>
      <c r="P21" s="114">
        <v>965.71299999999997</v>
      </c>
      <c r="Q21" s="134">
        <v>987.09</v>
      </c>
      <c r="R21" s="114">
        <v>976.779</v>
      </c>
      <c r="S21" s="134">
        <v>1009.2809999999999</v>
      </c>
      <c r="U21" s="114">
        <f>(137905+339482+577168)/1000</f>
        <v>1054.5550000000001</v>
      </c>
      <c r="V21" s="134">
        <f>(145.933+342.235+620.315)</f>
        <v>1108.4830000000002</v>
      </c>
      <c r="W21" s="114">
        <f>(149+389+677)</f>
        <v>1215</v>
      </c>
      <c r="X21" s="134">
        <v>1283.1300000000001</v>
      </c>
      <c r="Y21" s="114">
        <v>1340</v>
      </c>
    </row>
    <row r="22" spans="2:25" s="13" customFormat="1" ht="24.95" customHeight="1">
      <c r="B22" s="17" t="s">
        <v>52</v>
      </c>
      <c r="C22" s="42">
        <v>449</v>
      </c>
      <c r="D22" s="51">
        <v>542</v>
      </c>
      <c r="E22" s="42">
        <v>542.24599999999998</v>
      </c>
      <c r="F22" s="51">
        <v>542</v>
      </c>
      <c r="G22" s="45">
        <v>572.68399999999997</v>
      </c>
      <c r="H22" s="62"/>
      <c r="I22" s="130">
        <v>573</v>
      </c>
      <c r="J22" s="45">
        <v>571</v>
      </c>
      <c r="K22" s="133">
        <v>538.46100000000001</v>
      </c>
      <c r="L22" s="113">
        <v>538</v>
      </c>
      <c r="M22" s="133">
        <v>567</v>
      </c>
      <c r="N22" s="113">
        <v>566.77599999999995</v>
      </c>
      <c r="O22" s="133">
        <v>550.01700000000005</v>
      </c>
      <c r="P22" s="113">
        <v>569.94399999999996</v>
      </c>
      <c r="Q22" s="133">
        <v>566.53300000000002</v>
      </c>
      <c r="R22" s="113">
        <v>518.32100000000003</v>
      </c>
      <c r="S22" s="133">
        <v>484.61</v>
      </c>
      <c r="U22" s="113">
        <v>484.61</v>
      </c>
      <c r="V22" s="133">
        <v>473.64100000000002</v>
      </c>
      <c r="W22" s="113">
        <v>474</v>
      </c>
      <c r="X22" s="133">
        <v>462.64100000000002</v>
      </c>
      <c r="Y22" s="113">
        <v>478</v>
      </c>
    </row>
    <row r="23" spans="2:25" s="13" customFormat="1" ht="24.95" customHeight="1">
      <c r="B23" s="47" t="s">
        <v>50</v>
      </c>
      <c r="C23" s="43">
        <f>110111.801</f>
        <v>110111.80100000001</v>
      </c>
      <c r="D23" s="43">
        <v>119152.399</v>
      </c>
      <c r="E23" s="43">
        <v>120392.92600000001</v>
      </c>
      <c r="F23" s="43">
        <v>125065.912</v>
      </c>
      <c r="G23" s="46">
        <v>128384.77899999999</v>
      </c>
      <c r="H23" s="63"/>
      <c r="I23" s="115">
        <v>128346.56</v>
      </c>
      <c r="J23" s="46">
        <v>132900</v>
      </c>
      <c r="K23" s="48">
        <v>134920.302</v>
      </c>
      <c r="L23" s="115">
        <v>147409.266</v>
      </c>
      <c r="M23" s="48">
        <v>157142</v>
      </c>
      <c r="N23" s="115">
        <v>164738.948</v>
      </c>
      <c r="O23" s="48">
        <f>SUM(O9:O22)</f>
        <v>169375.77100000001</v>
      </c>
      <c r="P23" s="48">
        <f>SUM(P9:P22)</f>
        <v>174915.30359727412</v>
      </c>
      <c r="Q23" s="48">
        <f>SUM(Q9:Q22)</f>
        <v>179281.44188420352</v>
      </c>
      <c r="R23" s="48">
        <f>SUM(R9:R22)</f>
        <v>182397.11440178484</v>
      </c>
      <c r="S23" s="48">
        <f>SUM(S9:S22)</f>
        <v>189133.40769741416</v>
      </c>
      <c r="U23" s="48">
        <f>SUM(U9:U22)</f>
        <v>184434.217</v>
      </c>
      <c r="V23" s="48">
        <f>SUM(V9:V22)</f>
        <v>191625.07</v>
      </c>
      <c r="W23" s="48">
        <v>191362</v>
      </c>
      <c r="X23" s="48">
        <f>SUM(X9:X22)</f>
        <v>198429.33799999999</v>
      </c>
      <c r="Y23" s="48">
        <f>+SUM(Y9:Y22)</f>
        <v>199831</v>
      </c>
    </row>
    <row r="24" spans="2:25" s="38" customFormat="1" ht="19.899999999999999" customHeight="1">
      <c r="B24" s="39"/>
      <c r="C24" s="40"/>
      <c r="D24" s="40"/>
      <c r="E24" s="40"/>
      <c r="F24" s="40"/>
      <c r="G24" s="40"/>
      <c r="H24" s="64"/>
      <c r="I24" s="40"/>
      <c r="J24" s="40"/>
      <c r="K24" s="40"/>
      <c r="L24" s="40"/>
      <c r="M24" s="40"/>
      <c r="O24" s="40"/>
      <c r="Q24" s="40"/>
      <c r="S24" s="40"/>
      <c r="V24" s="40"/>
      <c r="X24" s="40"/>
    </row>
    <row r="25" spans="2:25" s="13" customFormat="1" ht="30" customHeight="1">
      <c r="B25" s="9" t="s">
        <v>49</v>
      </c>
      <c r="C25" s="29">
        <v>42339</v>
      </c>
      <c r="D25" s="29">
        <v>42522</v>
      </c>
      <c r="E25" s="29">
        <v>42705</v>
      </c>
      <c r="F25" s="29">
        <v>42887</v>
      </c>
      <c r="G25" s="29">
        <v>43070</v>
      </c>
      <c r="H25" s="65"/>
      <c r="I25" s="29">
        <v>43101</v>
      </c>
      <c r="J25" s="29">
        <v>43252</v>
      </c>
      <c r="K25" s="29">
        <v>43435</v>
      </c>
      <c r="L25" s="29">
        <v>43617</v>
      </c>
      <c r="M25" s="29">
        <v>43800</v>
      </c>
      <c r="N25" s="29">
        <v>43983</v>
      </c>
      <c r="O25" s="29">
        <v>44166</v>
      </c>
      <c r="P25" s="29">
        <v>44348</v>
      </c>
      <c r="Q25" s="29">
        <v>44531</v>
      </c>
      <c r="R25" s="29">
        <f>R7</f>
        <v>44713</v>
      </c>
      <c r="S25" s="29">
        <v>44896</v>
      </c>
      <c r="U25" s="29">
        <f>U7</f>
        <v>45078</v>
      </c>
      <c r="V25" s="29">
        <v>45261</v>
      </c>
      <c r="W25" s="29">
        <f>W7</f>
        <v>45444</v>
      </c>
      <c r="X25" s="29">
        <v>45627</v>
      </c>
      <c r="Y25" s="29">
        <f>Y7</f>
        <v>45809</v>
      </c>
    </row>
    <row r="26" spans="2:25" s="53" customFormat="1" ht="15" customHeight="1">
      <c r="B26" s="69"/>
      <c r="C26" s="70"/>
      <c r="D26" s="70"/>
      <c r="E26" s="70"/>
      <c r="F26" s="70"/>
      <c r="G26" s="70"/>
      <c r="H26" s="65"/>
      <c r="I26" s="70"/>
      <c r="J26" s="70"/>
      <c r="K26" s="70"/>
      <c r="L26" s="70"/>
      <c r="M26" s="70"/>
      <c r="O26" s="70"/>
      <c r="Q26" s="70"/>
      <c r="S26" s="70"/>
      <c r="V26" s="70"/>
      <c r="X26" s="70"/>
    </row>
    <row r="27" spans="2:25" s="13" customFormat="1" ht="24.95" customHeight="1">
      <c r="B27" s="49" t="s">
        <v>56</v>
      </c>
      <c r="C27" s="41">
        <v>570</v>
      </c>
      <c r="D27" s="50">
        <v>774</v>
      </c>
      <c r="E27" s="41">
        <v>615</v>
      </c>
      <c r="F27" s="50">
        <v>514</v>
      </c>
      <c r="G27" s="41">
        <v>610</v>
      </c>
      <c r="H27" s="66"/>
      <c r="I27" s="129">
        <v>559</v>
      </c>
      <c r="J27" s="44">
        <v>560</v>
      </c>
      <c r="K27" s="59">
        <v>811</v>
      </c>
      <c r="L27" s="112">
        <v>1007</v>
      </c>
      <c r="M27" s="59">
        <v>1173</v>
      </c>
      <c r="N27" s="112">
        <v>1185.1410000000001</v>
      </c>
      <c r="O27" s="59">
        <v>1362.942</v>
      </c>
      <c r="P27" s="112">
        <v>1331.645</v>
      </c>
      <c r="Q27" s="59">
        <v>1345.0239999999999</v>
      </c>
      <c r="R27" s="112">
        <v>1838.037</v>
      </c>
      <c r="S27" s="134">
        <v>2049.9470000000001</v>
      </c>
      <c r="U27" s="112">
        <v>2675.5880000000002</v>
      </c>
      <c r="V27" s="134">
        <v>2737.0459999999998</v>
      </c>
      <c r="W27" s="112">
        <v>2880</v>
      </c>
      <c r="X27" s="134">
        <v>2768.7559999999999</v>
      </c>
      <c r="Y27" s="112">
        <v>2833</v>
      </c>
    </row>
    <row r="28" spans="2:25" s="13" customFormat="1" ht="24.95" customHeight="1">
      <c r="B28" s="16" t="s">
        <v>57</v>
      </c>
      <c r="C28" s="41">
        <v>504</v>
      </c>
      <c r="D28" s="50">
        <v>649</v>
      </c>
      <c r="E28" s="41">
        <v>512</v>
      </c>
      <c r="F28" s="50">
        <v>428</v>
      </c>
      <c r="G28" s="41">
        <v>399</v>
      </c>
      <c r="H28" s="66"/>
      <c r="I28" s="129">
        <v>399</v>
      </c>
      <c r="J28" s="44">
        <v>393</v>
      </c>
      <c r="K28" s="59">
        <v>428</v>
      </c>
      <c r="L28" s="112">
        <v>972</v>
      </c>
      <c r="M28" s="59">
        <v>1044</v>
      </c>
      <c r="N28" s="112">
        <v>1185.7280000000001</v>
      </c>
      <c r="O28" s="59">
        <v>1208.376</v>
      </c>
      <c r="P28" s="112">
        <v>976.89200000000005</v>
      </c>
      <c r="Q28" s="59">
        <v>956.29100000000005</v>
      </c>
      <c r="R28" s="112">
        <v>2911.806</v>
      </c>
      <c r="S28" s="59">
        <v>4525.3779999999997</v>
      </c>
      <c r="U28" s="112">
        <v>4141.6130000000003</v>
      </c>
      <c r="V28" s="59">
        <v>3479.9490000000001</v>
      </c>
      <c r="W28" s="112">
        <v>3393</v>
      </c>
      <c r="X28" s="59">
        <v>3065.5740000000001</v>
      </c>
      <c r="Y28" s="112">
        <v>2612</v>
      </c>
    </row>
    <row r="29" spans="2:25" s="13" customFormat="1" ht="24.95" customHeight="1">
      <c r="B29" s="37" t="s">
        <v>3</v>
      </c>
      <c r="C29" s="72">
        <v>13780</v>
      </c>
      <c r="D29" s="73">
        <v>13635</v>
      </c>
      <c r="E29" s="72">
        <v>12870</v>
      </c>
      <c r="F29" s="73">
        <v>10401</v>
      </c>
      <c r="G29" s="72">
        <v>10788</v>
      </c>
      <c r="H29" s="66"/>
      <c r="I29" s="131">
        <v>10738</v>
      </c>
      <c r="J29" s="76">
        <v>11283</v>
      </c>
      <c r="K29" s="75">
        <v>12771</v>
      </c>
      <c r="L29" s="114">
        <v>14357</v>
      </c>
      <c r="M29" s="75">
        <v>16534</v>
      </c>
      <c r="N29" s="114">
        <v>19129.003000000001</v>
      </c>
      <c r="O29" s="75">
        <v>19348.473999999998</v>
      </c>
      <c r="P29" s="114">
        <v>17169.264999999999</v>
      </c>
      <c r="Q29" s="75">
        <v>16438.84</v>
      </c>
      <c r="R29" s="112">
        <v>15776.492</v>
      </c>
      <c r="S29" s="75">
        <v>19843.531999999999</v>
      </c>
      <c r="U29" s="112">
        <v>23180.880000000001</v>
      </c>
      <c r="V29" s="75">
        <v>24442.681</v>
      </c>
      <c r="W29" s="112">
        <v>25633</v>
      </c>
      <c r="X29" s="75">
        <v>25943.39</v>
      </c>
      <c r="Y29" s="112">
        <v>26037</v>
      </c>
    </row>
    <row r="30" spans="2:25" s="13" customFormat="1" ht="24.95" customHeight="1">
      <c r="B30" s="16" t="s">
        <v>51</v>
      </c>
      <c r="C30" s="41">
        <v>6456</v>
      </c>
      <c r="D30" s="50">
        <v>6822</v>
      </c>
      <c r="E30" s="41">
        <v>7087</v>
      </c>
      <c r="F30" s="50">
        <v>9645</v>
      </c>
      <c r="G30" s="41">
        <v>9815</v>
      </c>
      <c r="H30" s="66"/>
      <c r="I30" s="129">
        <v>7999</v>
      </c>
      <c r="J30" s="44">
        <v>7255</v>
      </c>
      <c r="K30" s="59">
        <v>7117</v>
      </c>
      <c r="L30" s="112">
        <v>7962</v>
      </c>
      <c r="M30" s="59">
        <v>7768</v>
      </c>
      <c r="N30" s="112">
        <v>13602.485000000001</v>
      </c>
      <c r="O30" s="59">
        <v>12579.834999999999</v>
      </c>
      <c r="P30" s="112">
        <v>15040.388000000001</v>
      </c>
      <c r="Q30" s="59">
        <v>14596.802</v>
      </c>
      <c r="R30" s="112">
        <v>14830.787</v>
      </c>
      <c r="S30" s="59">
        <v>14021.591</v>
      </c>
      <c r="U30" s="112">
        <v>7328.2129999999997</v>
      </c>
      <c r="V30" s="59">
        <v>6747.6270000000004</v>
      </c>
      <c r="W30" s="112">
        <v>4331</v>
      </c>
      <c r="X30" s="59">
        <v>4309.3609999999999</v>
      </c>
      <c r="Y30" s="112">
        <v>4004</v>
      </c>
    </row>
    <row r="31" spans="2:25" s="13" customFormat="1" ht="24.95" customHeight="1">
      <c r="B31" s="15" t="s">
        <v>16</v>
      </c>
      <c r="C31" s="42">
        <v>41451</v>
      </c>
      <c r="D31" s="51">
        <v>46408</v>
      </c>
      <c r="E31" s="42">
        <v>47173</v>
      </c>
      <c r="F31" s="51">
        <v>48185</v>
      </c>
      <c r="G31" s="42">
        <v>49436</v>
      </c>
      <c r="H31" s="66"/>
      <c r="I31" s="130">
        <v>49380</v>
      </c>
      <c r="J31" s="45">
        <v>51068</v>
      </c>
      <c r="K31" s="60">
        <v>54555</v>
      </c>
      <c r="L31" s="113">
        <v>56698</v>
      </c>
      <c r="M31" s="60">
        <v>61700</v>
      </c>
      <c r="N31" s="113">
        <v>64996.430999999997</v>
      </c>
      <c r="O31" s="60">
        <v>68361.123000000007</v>
      </c>
      <c r="P31" s="113">
        <v>71231.407999999996</v>
      </c>
      <c r="Q31" s="60">
        <v>74571.114000000001</v>
      </c>
      <c r="R31" s="112">
        <v>75591.126999999993</v>
      </c>
      <c r="S31" s="60">
        <v>81064.164000000004</v>
      </c>
      <c r="U31" s="112">
        <v>80952.820999999996</v>
      </c>
      <c r="V31" s="60">
        <v>85080.712</v>
      </c>
      <c r="W31" s="112">
        <v>84282</v>
      </c>
      <c r="X31" s="60">
        <v>89241.296000000002</v>
      </c>
      <c r="Y31" s="112">
        <v>89273</v>
      </c>
    </row>
    <row r="32" spans="2:25" s="13" customFormat="1" ht="24.95" customHeight="1">
      <c r="B32" s="16" t="s">
        <v>17</v>
      </c>
      <c r="C32" s="41">
        <v>37214</v>
      </c>
      <c r="D32" s="50">
        <v>38793</v>
      </c>
      <c r="E32" s="41">
        <v>39782</v>
      </c>
      <c r="F32" s="50">
        <v>41167</v>
      </c>
      <c r="G32" s="41">
        <v>42808</v>
      </c>
      <c r="H32" s="66"/>
      <c r="I32" s="129">
        <v>48247</v>
      </c>
      <c r="J32" s="44">
        <v>50254</v>
      </c>
      <c r="K32" s="59">
        <v>48033</v>
      </c>
      <c r="L32" s="112">
        <v>53528</v>
      </c>
      <c r="M32" s="59">
        <v>55708</v>
      </c>
      <c r="N32" s="112">
        <v>50922.137999999999</v>
      </c>
      <c r="O32" s="59">
        <v>52736.78</v>
      </c>
      <c r="P32" s="112">
        <v>54780.807999999997</v>
      </c>
      <c r="Q32" s="59">
        <v>56168.824000000001</v>
      </c>
      <c r="R32" s="112">
        <v>53673.659</v>
      </c>
      <c r="S32" s="59">
        <v>56109.540999999997</v>
      </c>
      <c r="U32" s="112">
        <v>51233.62</v>
      </c>
      <c r="V32" s="59">
        <v>52679.432999999997</v>
      </c>
      <c r="W32" s="112">
        <v>53258</v>
      </c>
      <c r="X32" s="59">
        <v>55000.603999999999</v>
      </c>
      <c r="Y32" s="112">
        <v>56484</v>
      </c>
    </row>
    <row r="33" spans="2:25" s="13" customFormat="1" ht="24.95" customHeight="1">
      <c r="B33" s="17" t="s">
        <v>4</v>
      </c>
      <c r="C33" s="41">
        <v>366</v>
      </c>
      <c r="D33" s="50">
        <v>379</v>
      </c>
      <c r="E33" s="41">
        <v>397</v>
      </c>
      <c r="F33" s="50">
        <v>395</v>
      </c>
      <c r="G33" s="41">
        <v>395</v>
      </c>
      <c r="H33" s="66"/>
      <c r="I33" s="129">
        <v>413</v>
      </c>
      <c r="J33" s="41">
        <v>394</v>
      </c>
      <c r="K33" s="59">
        <v>424</v>
      </c>
      <c r="L33" s="112">
        <v>437</v>
      </c>
      <c r="M33" s="59">
        <v>531</v>
      </c>
      <c r="N33" s="112">
        <v>422.41500000000002</v>
      </c>
      <c r="O33" s="59">
        <v>479.73</v>
      </c>
      <c r="P33" s="112">
        <v>467.45400000000001</v>
      </c>
      <c r="Q33" s="59">
        <v>426.79300000000001</v>
      </c>
      <c r="R33" s="112">
        <v>270.084</v>
      </c>
      <c r="S33" s="59">
        <v>299.19499999999999</v>
      </c>
      <c r="U33" s="112">
        <v>257.30500000000001</v>
      </c>
      <c r="V33" s="59">
        <v>251.41300000000001</v>
      </c>
      <c r="W33" s="112">
        <v>246</v>
      </c>
      <c r="X33" s="59">
        <v>259.255</v>
      </c>
      <c r="Y33" s="112">
        <v>263</v>
      </c>
    </row>
    <row r="34" spans="2:25" s="13" customFormat="1" ht="24.95" customHeight="1">
      <c r="B34" s="52" t="s">
        <v>5</v>
      </c>
      <c r="C34" s="42">
        <v>382</v>
      </c>
      <c r="D34" s="51">
        <v>896</v>
      </c>
      <c r="E34" s="42">
        <v>890</v>
      </c>
      <c r="F34" s="51">
        <v>1390</v>
      </c>
      <c r="G34" s="42">
        <v>1893</v>
      </c>
      <c r="H34" s="66"/>
      <c r="I34" s="130">
        <v>1892</v>
      </c>
      <c r="J34" s="45">
        <v>2402</v>
      </c>
      <c r="K34" s="60">
        <v>1667</v>
      </c>
      <c r="L34" s="113">
        <v>2508</v>
      </c>
      <c r="M34" s="60">
        <v>2498</v>
      </c>
      <c r="N34" s="113">
        <v>2518.8440000000001</v>
      </c>
      <c r="O34" s="60">
        <v>2547.739</v>
      </c>
      <c r="P34" s="113">
        <v>2477.5189999999998</v>
      </c>
      <c r="Q34" s="60">
        <v>2473.3620000000001</v>
      </c>
      <c r="R34" s="112">
        <v>2258.5129999999999</v>
      </c>
      <c r="S34" s="60">
        <v>2182.0140000000001</v>
      </c>
      <c r="U34" s="112">
        <v>2171.623</v>
      </c>
      <c r="V34" s="60">
        <v>2271.5079999999998</v>
      </c>
      <c r="W34" s="112">
        <v>2734</v>
      </c>
      <c r="X34" s="60">
        <v>2342.6619999999998</v>
      </c>
      <c r="Y34" s="112">
        <v>2315</v>
      </c>
    </row>
    <row r="35" spans="2:25" s="13" customFormat="1" ht="24.95" customHeight="1">
      <c r="B35" s="16" t="s">
        <v>58</v>
      </c>
      <c r="C35" s="41">
        <v>3612</v>
      </c>
      <c r="D35" s="50">
        <v>4819</v>
      </c>
      <c r="E35" s="41">
        <v>4994</v>
      </c>
      <c r="F35" s="50">
        <v>6575</v>
      </c>
      <c r="G35" s="41">
        <v>5790</v>
      </c>
      <c r="H35" s="66"/>
      <c r="I35" s="129">
        <v>2334</v>
      </c>
      <c r="J35" s="44">
        <v>2637</v>
      </c>
      <c r="K35" s="59">
        <v>2407</v>
      </c>
      <c r="L35" s="112">
        <v>2880</v>
      </c>
      <c r="M35" s="59">
        <v>2834</v>
      </c>
      <c r="N35" s="112">
        <f>223.797+149.638+151.449+2664.617+92.052</f>
        <v>3281.5530000000003</v>
      </c>
      <c r="O35" s="59">
        <f>228.384+135.727+169.681+2393.952+94.028</f>
        <v>3021.7719999999999</v>
      </c>
      <c r="P35" s="112">
        <v>3363.6306132</v>
      </c>
      <c r="Q35" s="59">
        <v>3891.5836131999999</v>
      </c>
      <c r="R35" s="112">
        <v>6746.6409999999996</v>
      </c>
      <c r="S35" s="59">
        <v>311.61561320000004</v>
      </c>
      <c r="U35" s="112">
        <f>(-1903895+42826+274622+4532448+4686)/1000</f>
        <v>2950.6869999999999</v>
      </c>
      <c r="V35" s="59">
        <f>(-1269.242+88.212+302.7+5100.189)</f>
        <v>4221.8590000000004</v>
      </c>
      <c r="W35" s="112">
        <f>(-1396+29+312+5777)</f>
        <v>4722</v>
      </c>
      <c r="X35" s="59">
        <v>5567.27</v>
      </c>
      <c r="Y35" s="112">
        <v>5833</v>
      </c>
    </row>
    <row r="36" spans="2:25" s="13" customFormat="1" ht="24.95" customHeight="1">
      <c r="B36" s="104" t="s">
        <v>54</v>
      </c>
      <c r="C36" s="78">
        <v>5774</v>
      </c>
      <c r="D36" s="79">
        <v>5975</v>
      </c>
      <c r="E36" s="78">
        <v>6070</v>
      </c>
      <c r="F36" s="79">
        <v>6365</v>
      </c>
      <c r="G36" s="78">
        <v>6449</v>
      </c>
      <c r="H36" s="67"/>
      <c r="I36" s="137">
        <v>6383</v>
      </c>
      <c r="J36" s="80">
        <v>6650</v>
      </c>
      <c r="K36" s="139">
        <v>6704</v>
      </c>
      <c r="L36" s="116">
        <v>7057</v>
      </c>
      <c r="M36" s="139">
        <v>7348</v>
      </c>
      <c r="N36" s="116">
        <v>7491.991</v>
      </c>
      <c r="O36" s="139">
        <v>7725.77</v>
      </c>
      <c r="P36" s="116">
        <v>8072.0992869743395</v>
      </c>
      <c r="Q36" s="139">
        <v>8406.8838140126936</v>
      </c>
      <c r="R36" s="115">
        <v>8494.0825150463716</v>
      </c>
      <c r="S36" s="139">
        <v>8719.2119572983192</v>
      </c>
      <c r="U36" s="115">
        <v>9533.875</v>
      </c>
      <c r="V36" s="139">
        <v>9703.7430000000004</v>
      </c>
      <c r="W36" s="115">
        <v>9873</v>
      </c>
      <c r="X36" s="139">
        <v>9917.7610999999997</v>
      </c>
      <c r="Y36" s="115">
        <v>10160</v>
      </c>
    </row>
    <row r="37" spans="2:25" s="13" customFormat="1" ht="24.95" customHeight="1">
      <c r="B37" s="16" t="s">
        <v>55</v>
      </c>
      <c r="C37" s="135">
        <v>3</v>
      </c>
      <c r="D37" s="136">
        <v>3</v>
      </c>
      <c r="E37" s="135">
        <v>3</v>
      </c>
      <c r="F37" s="136">
        <v>3</v>
      </c>
      <c r="G37" s="135">
        <v>3</v>
      </c>
      <c r="H37" s="105"/>
      <c r="I37" s="138">
        <v>3</v>
      </c>
      <c r="J37" s="135">
        <v>3</v>
      </c>
      <c r="K37" s="136">
        <v>3</v>
      </c>
      <c r="L37" s="113">
        <v>3</v>
      </c>
      <c r="M37" s="136">
        <v>3</v>
      </c>
      <c r="N37" s="113">
        <v>3.2189999999999999</v>
      </c>
      <c r="O37" s="136">
        <v>3.23</v>
      </c>
      <c r="P37" s="113">
        <v>4.1952275808654402</v>
      </c>
      <c r="Q37" s="136">
        <v>5.9239874718952494</v>
      </c>
      <c r="R37" s="112">
        <v>5.88585531955004</v>
      </c>
      <c r="S37" s="136">
        <v>7.2196573969197901</v>
      </c>
      <c r="U37" s="112">
        <v>7.992</v>
      </c>
      <c r="V37" s="136">
        <v>9.0990000000000002</v>
      </c>
      <c r="W37" s="112">
        <v>11</v>
      </c>
      <c r="X37" s="136">
        <v>13.414</v>
      </c>
      <c r="Y37" s="112">
        <v>17</v>
      </c>
    </row>
    <row r="38" spans="2:25" s="13" customFormat="1" ht="24.95" customHeight="1">
      <c r="B38" s="47" t="s">
        <v>50</v>
      </c>
      <c r="C38" s="43">
        <f>110111.801</f>
        <v>110111.80100000001</v>
      </c>
      <c r="D38" s="43">
        <v>119152.399</v>
      </c>
      <c r="E38" s="43">
        <v>120392.92600000001</v>
      </c>
      <c r="F38" s="43">
        <v>125065.912</v>
      </c>
      <c r="G38" s="46">
        <v>128384.77899999999</v>
      </c>
      <c r="H38" s="63"/>
      <c r="I38" s="115">
        <v>128346.56</v>
      </c>
      <c r="J38" s="46">
        <v>132900</v>
      </c>
      <c r="K38" s="48">
        <v>134920.302</v>
      </c>
      <c r="L38" s="115">
        <v>147409.266</v>
      </c>
      <c r="M38" s="48">
        <v>157142</v>
      </c>
      <c r="N38" s="115">
        <v>164738.948</v>
      </c>
      <c r="O38" s="48">
        <f>SUM(O27:O37)</f>
        <v>169375.77100000001</v>
      </c>
      <c r="P38" s="48">
        <f>SUM(P27:P37)</f>
        <v>174915.3041277552</v>
      </c>
      <c r="Q38" s="48">
        <f>SUM(Q27:Q37)</f>
        <v>179281.44141468458</v>
      </c>
      <c r="R38" s="48">
        <f>SUM(R27:R37)</f>
        <v>182397.11437036595</v>
      </c>
      <c r="S38" s="48">
        <f>SUM(S27:S37)</f>
        <v>189133.40922789523</v>
      </c>
      <c r="U38" s="48">
        <f>SUM(U27:U37)</f>
        <v>184434.21699999998</v>
      </c>
      <c r="V38" s="48">
        <f>SUM(V27:V37)</f>
        <v>191625.06999999998</v>
      </c>
      <c r="W38" s="48">
        <v>191362</v>
      </c>
      <c r="X38" s="48">
        <f>SUM(X27:X37)</f>
        <v>198429.3431</v>
      </c>
      <c r="Y38" s="48">
        <f>+SUM(Y27:Y37)</f>
        <v>199831</v>
      </c>
    </row>
    <row r="39" spans="2:25" s="38" customFormat="1" ht="19.899999999999999" customHeight="1">
      <c r="B39" s="100"/>
      <c r="C39" s="101"/>
      <c r="D39" s="101"/>
      <c r="E39" s="101"/>
      <c r="F39" s="101"/>
      <c r="G39" s="101"/>
      <c r="H39" s="64"/>
      <c r="I39" s="101"/>
      <c r="J39" s="101"/>
      <c r="K39" s="101"/>
      <c r="L39" s="101"/>
      <c r="M39" s="101"/>
    </row>
    <row r="40" spans="2:25">
      <c r="H40" s="68"/>
    </row>
    <row r="41" spans="2:25">
      <c r="H41" s="68"/>
      <c r="S41" s="165"/>
    </row>
    <row r="42" spans="2:25">
      <c r="H42" s="68"/>
    </row>
    <row r="43" spans="2:25">
      <c r="H43" s="68"/>
    </row>
    <row r="47" spans="2:25">
      <c r="E47" s="36"/>
    </row>
    <row r="48" spans="2:25">
      <c r="E48" s="36"/>
    </row>
    <row r="49" spans="5:5">
      <c r="E49" s="14"/>
    </row>
    <row r="50" spans="5:5">
      <c r="E50" s="36"/>
    </row>
    <row r="51" spans="5:5">
      <c r="E51" s="36"/>
    </row>
    <row r="52" spans="5:5">
      <c r="E52" s="36"/>
    </row>
  </sheetData>
  <mergeCells count="3">
    <mergeCell ref="C5:G5"/>
    <mergeCell ref="I5:S5"/>
    <mergeCell ref="U5:Y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2"/>
  <sheetViews>
    <sheetView showGridLines="0" topLeftCell="A12" zoomScaleNormal="100" workbookViewId="0">
      <selection activeCell="V5" sqref="V5:V20"/>
    </sheetView>
  </sheetViews>
  <sheetFormatPr baseColWidth="10" defaultColWidth="12.5703125" defaultRowHeight="12.75" customHeight="1" zeroHeight="1"/>
  <cols>
    <col min="1" max="1" width="2.7109375" style="5" customWidth="1"/>
    <col min="2" max="2" width="51.140625" style="5" customWidth="1"/>
    <col min="3" max="11" width="8.7109375" style="5" customWidth="1"/>
    <col min="12" max="20" width="8.85546875" style="5" customWidth="1"/>
    <col min="21" max="21" width="9" style="5" customWidth="1"/>
    <col min="22" max="22" width="8.85546875" style="5" customWidth="1"/>
    <col min="23" max="16384" width="12.5703125" style="5"/>
  </cols>
  <sheetData>
    <row r="1" spans="1:22" ht="19.899999999999999" customHeight="1">
      <c r="A1" s="1"/>
      <c r="B1" s="1"/>
      <c r="C1" s="1"/>
    </row>
    <row r="2" spans="1:22" ht="19.899999999999999" customHeight="1">
      <c r="A2" s="1"/>
      <c r="B2" s="1"/>
      <c r="C2" s="1"/>
    </row>
    <row r="3" spans="1:22" ht="19.899999999999999" customHeight="1">
      <c r="A3" s="1"/>
      <c r="B3" s="1"/>
      <c r="C3" s="1"/>
    </row>
    <row r="4" spans="1:22" ht="35.1" customHeight="1">
      <c r="B4" s="178" t="s">
        <v>44</v>
      </c>
      <c r="C4" s="178"/>
      <c r="D4" s="179"/>
    </row>
    <row r="5" spans="1:22" ht="30" customHeight="1">
      <c r="B5" s="9" t="s">
        <v>20</v>
      </c>
      <c r="C5" s="29">
        <v>42339</v>
      </c>
      <c r="D5" s="29">
        <v>42522</v>
      </c>
      <c r="E5" s="29">
        <v>42705</v>
      </c>
      <c r="F5" s="29">
        <v>42887</v>
      </c>
      <c r="G5" s="29">
        <v>43070</v>
      </c>
      <c r="H5" s="29">
        <v>43252</v>
      </c>
      <c r="I5" s="29">
        <v>43435</v>
      </c>
      <c r="J5" s="29">
        <v>43617</v>
      </c>
      <c r="K5" s="29">
        <v>43800</v>
      </c>
      <c r="L5" s="29">
        <v>43983</v>
      </c>
      <c r="M5" s="29">
        <v>44166</v>
      </c>
      <c r="N5" s="29">
        <v>44348</v>
      </c>
      <c r="O5" s="29">
        <v>44531</v>
      </c>
      <c r="P5" s="29">
        <v>44713</v>
      </c>
      <c r="Q5" s="29">
        <v>44896</v>
      </c>
      <c r="R5" s="29">
        <v>45078</v>
      </c>
      <c r="S5" s="29">
        <v>45261</v>
      </c>
      <c r="T5" s="29">
        <v>45444</v>
      </c>
      <c r="U5" s="29">
        <v>45627</v>
      </c>
      <c r="V5" s="29">
        <v>45809</v>
      </c>
    </row>
    <row r="6" spans="1:22" s="30" customFormat="1" ht="15" customHeight="1">
      <c r="A6" s="107"/>
      <c r="B6" s="108"/>
      <c r="C6" s="109"/>
      <c r="D6" s="109"/>
      <c r="E6" s="109"/>
      <c r="F6" s="109"/>
      <c r="G6" s="109"/>
      <c r="H6" s="109"/>
      <c r="I6" s="109"/>
      <c r="J6" s="109"/>
      <c r="K6" s="109"/>
      <c r="L6" s="109"/>
      <c r="M6" s="109"/>
      <c r="N6" s="109"/>
      <c r="O6" s="109"/>
      <c r="P6" s="109"/>
      <c r="Q6" s="109"/>
      <c r="R6" s="109"/>
      <c r="S6" s="109"/>
      <c r="T6" s="109"/>
      <c r="U6" s="109"/>
      <c r="V6" s="109"/>
    </row>
    <row r="7" spans="1:22" ht="24.95" customHeight="1">
      <c r="B7" s="92" t="s">
        <v>43</v>
      </c>
      <c r="C7" s="93"/>
      <c r="D7" s="94"/>
      <c r="E7" s="94"/>
      <c r="F7" s="94"/>
      <c r="G7" s="94"/>
      <c r="H7" s="94"/>
      <c r="I7" s="94"/>
      <c r="J7" s="94"/>
      <c r="K7" s="94"/>
      <c r="L7" s="94"/>
      <c r="M7" s="94"/>
      <c r="N7" s="94"/>
      <c r="O7" s="94"/>
      <c r="P7" s="94"/>
      <c r="Q7" s="94"/>
      <c r="R7" s="94"/>
      <c r="S7" s="94"/>
      <c r="T7" s="94"/>
      <c r="U7" s="94"/>
      <c r="V7" s="94"/>
    </row>
    <row r="8" spans="1:22" ht="24.95" customHeight="1">
      <c r="B8" s="19" t="s">
        <v>42</v>
      </c>
      <c r="C8" s="140">
        <v>4689</v>
      </c>
      <c r="D8" s="20">
        <v>4797</v>
      </c>
      <c r="E8" s="140">
        <v>4850</v>
      </c>
      <c r="F8" s="20">
        <v>5209</v>
      </c>
      <c r="G8" s="140">
        <v>5294</v>
      </c>
      <c r="H8" s="20">
        <v>5636</v>
      </c>
      <c r="I8" s="140">
        <v>5639</v>
      </c>
      <c r="J8" s="21">
        <f>J9+34</f>
        <v>6022</v>
      </c>
      <c r="K8" s="140">
        <v>6199</v>
      </c>
      <c r="L8" s="21">
        <v>6460</v>
      </c>
      <c r="M8" s="140">
        <v>6767</v>
      </c>
      <c r="N8" s="21">
        <f>+N9+11.225</f>
        <v>7085.2250000000004</v>
      </c>
      <c r="O8" s="140">
        <v>7319</v>
      </c>
      <c r="P8" s="21">
        <v>7231</v>
      </c>
      <c r="Q8" s="140">
        <v>7508</v>
      </c>
      <c r="R8" s="21">
        <v>8342</v>
      </c>
      <c r="S8" s="140">
        <v>8400</v>
      </c>
      <c r="T8" s="21">
        <v>8636</v>
      </c>
      <c r="U8" s="140">
        <v>8551.4930000000004</v>
      </c>
      <c r="V8" s="21">
        <v>8835</v>
      </c>
    </row>
    <row r="9" spans="1:22" ht="24.95" customHeight="1">
      <c r="B9" s="22" t="s">
        <v>39</v>
      </c>
      <c r="C9" s="141">
        <v>4689</v>
      </c>
      <c r="D9" s="23">
        <v>4796</v>
      </c>
      <c r="E9" s="141">
        <v>4850</v>
      </c>
      <c r="F9" s="23">
        <v>5196</v>
      </c>
      <c r="G9" s="141">
        <f>G8</f>
        <v>5294</v>
      </c>
      <c r="H9" s="23">
        <v>5590</v>
      </c>
      <c r="I9" s="141">
        <v>5594</v>
      </c>
      <c r="J9" s="24">
        <v>5988</v>
      </c>
      <c r="K9" s="141">
        <v>6164</v>
      </c>
      <c r="L9" s="24">
        <v>6437</v>
      </c>
      <c r="M9" s="141">
        <v>6744</v>
      </c>
      <c r="N9" s="24">
        <v>7074</v>
      </c>
      <c r="O9" s="141">
        <v>7308</v>
      </c>
      <c r="P9" s="24">
        <v>7231</v>
      </c>
      <c r="Q9" s="141">
        <v>7508</v>
      </c>
      <c r="R9" s="24">
        <v>8342</v>
      </c>
      <c r="S9" s="141">
        <v>8400</v>
      </c>
      <c r="T9" s="24">
        <v>8636</v>
      </c>
      <c r="U9" s="141">
        <f>+U8</f>
        <v>8551.4930000000004</v>
      </c>
      <c r="V9" s="24">
        <v>8835</v>
      </c>
    </row>
    <row r="10" spans="1:22" ht="24.95" customHeight="1">
      <c r="B10" s="22" t="s">
        <v>35</v>
      </c>
      <c r="C10" s="141">
        <v>80</v>
      </c>
      <c r="D10" s="23">
        <v>508</v>
      </c>
      <c r="E10" s="141">
        <v>401</v>
      </c>
      <c r="F10" s="23">
        <v>835</v>
      </c>
      <c r="G10" s="141">
        <v>845</v>
      </c>
      <c r="H10" s="23">
        <v>694</v>
      </c>
      <c r="I10" s="141">
        <v>688</v>
      </c>
      <c r="J10" s="24">
        <v>1506</v>
      </c>
      <c r="K10" s="141">
        <v>1852</v>
      </c>
      <c r="L10" s="24">
        <v>1865</v>
      </c>
      <c r="M10" s="141">
        <v>1877</v>
      </c>
      <c r="N10" s="24">
        <v>1834.4369999999999</v>
      </c>
      <c r="O10" s="141">
        <f t="shared" ref="O10:T10" si="0">O11-O8</f>
        <v>1789</v>
      </c>
      <c r="P10" s="24">
        <f t="shared" si="0"/>
        <v>1706</v>
      </c>
      <c r="Q10" s="141">
        <f t="shared" si="0"/>
        <v>1656</v>
      </c>
      <c r="R10" s="24">
        <f t="shared" si="0"/>
        <v>1614</v>
      </c>
      <c r="S10" s="141">
        <f t="shared" si="0"/>
        <v>1566</v>
      </c>
      <c r="T10" s="24">
        <f t="shared" si="0"/>
        <v>1987</v>
      </c>
      <c r="U10" s="141">
        <f t="shared" ref="U10:V10" si="1">U11-U8</f>
        <v>1390.5069999999996</v>
      </c>
      <c r="V10" s="24">
        <f t="shared" si="1"/>
        <v>1232</v>
      </c>
    </row>
    <row r="11" spans="1:22" ht="24.95" customHeight="1">
      <c r="B11" s="22" t="s">
        <v>41</v>
      </c>
      <c r="C11" s="141">
        <v>4769</v>
      </c>
      <c r="D11" s="23">
        <v>5304</v>
      </c>
      <c r="E11" s="141">
        <v>5251</v>
      </c>
      <c r="F11" s="23">
        <v>6043</v>
      </c>
      <c r="G11" s="141">
        <v>6139</v>
      </c>
      <c r="H11" s="23">
        <v>6330</v>
      </c>
      <c r="I11" s="141">
        <v>6327</v>
      </c>
      <c r="J11" s="24">
        <v>7528</v>
      </c>
      <c r="K11" s="141">
        <v>8051</v>
      </c>
      <c r="L11" s="24">
        <f>L8+L10</f>
        <v>8325</v>
      </c>
      <c r="M11" s="141">
        <v>8643</v>
      </c>
      <c r="N11" s="24">
        <v>8919</v>
      </c>
      <c r="O11" s="141">
        <v>9108</v>
      </c>
      <c r="P11" s="24">
        <v>8937</v>
      </c>
      <c r="Q11" s="141">
        <v>9164</v>
      </c>
      <c r="R11" s="24">
        <v>9956</v>
      </c>
      <c r="S11" s="141">
        <v>9966</v>
      </c>
      <c r="T11" s="24">
        <v>10623</v>
      </c>
      <c r="U11" s="141">
        <v>9942</v>
      </c>
      <c r="V11" s="24">
        <v>10067</v>
      </c>
    </row>
    <row r="12" spans="1:22" ht="24.95" customHeight="1">
      <c r="B12" s="81" t="s">
        <v>40</v>
      </c>
      <c r="C12" s="142">
        <v>29606.653999999999</v>
      </c>
      <c r="D12" s="98">
        <v>31390.111170339998</v>
      </c>
      <c r="E12" s="142">
        <v>31739.566999999999</v>
      </c>
      <c r="F12" s="98">
        <v>30831.937027880002</v>
      </c>
      <c r="G12" s="142">
        <v>28585.634999999998</v>
      </c>
      <c r="H12" s="98">
        <v>30465.85563473</v>
      </c>
      <c r="I12" s="142">
        <v>32019.694</v>
      </c>
      <c r="J12" s="99">
        <v>34131</v>
      </c>
      <c r="K12" s="142">
        <v>37614</v>
      </c>
      <c r="L12" s="99">
        <v>38383</v>
      </c>
      <c r="M12" s="142">
        <v>40040</v>
      </c>
      <c r="N12" s="99">
        <v>41311</v>
      </c>
      <c r="O12" s="142">
        <v>43077</v>
      </c>
      <c r="P12" s="99">
        <v>43924</v>
      </c>
      <c r="Q12" s="142">
        <v>44545</v>
      </c>
      <c r="R12" s="99">
        <v>48474</v>
      </c>
      <c r="S12" s="142">
        <v>49736</v>
      </c>
      <c r="T12" s="99">
        <v>51555</v>
      </c>
      <c r="U12" s="142">
        <v>50871</v>
      </c>
      <c r="V12" s="99">
        <v>48901</v>
      </c>
    </row>
    <row r="13" spans="1:22" s="30" customFormat="1" ht="15" customHeight="1">
      <c r="B13" s="88"/>
      <c r="C13" s="89"/>
      <c r="D13" s="110"/>
      <c r="E13" s="89"/>
      <c r="F13" s="111"/>
      <c r="G13" s="89"/>
      <c r="H13" s="89"/>
      <c r="I13" s="89"/>
      <c r="J13" s="89"/>
      <c r="K13" s="89"/>
      <c r="L13" s="89"/>
      <c r="M13" s="89"/>
      <c r="N13" s="89"/>
      <c r="O13" s="89"/>
      <c r="P13" s="89"/>
      <c r="Q13" s="89"/>
      <c r="R13" s="89"/>
      <c r="S13" s="89"/>
      <c r="T13" s="89"/>
      <c r="U13" s="89"/>
      <c r="V13" s="89"/>
    </row>
    <row r="14" spans="1:22" ht="24.95" customHeight="1">
      <c r="B14" s="92" t="s">
        <v>74</v>
      </c>
      <c r="C14" s="95"/>
      <c r="D14" s="96"/>
      <c r="E14" s="97"/>
      <c r="F14" s="96"/>
      <c r="G14" s="97"/>
      <c r="H14" s="96"/>
      <c r="I14" s="97"/>
      <c r="J14" s="97"/>
      <c r="K14" s="97"/>
      <c r="L14" s="97"/>
      <c r="M14" s="97"/>
      <c r="N14" s="97"/>
      <c r="O14" s="97"/>
      <c r="P14" s="97"/>
      <c r="Q14" s="97"/>
      <c r="R14" s="97"/>
      <c r="S14" s="97"/>
      <c r="T14" s="97"/>
      <c r="U14" s="97"/>
      <c r="V14" s="97"/>
    </row>
    <row r="15" spans="1:22" ht="24.95" customHeight="1">
      <c r="B15" s="22" t="s">
        <v>36</v>
      </c>
      <c r="C15" s="143">
        <f t="shared" ref="C15:K15" si="2">C9/C12</f>
        <v>0.15837655953962243</v>
      </c>
      <c r="D15" s="26">
        <f t="shared" si="2"/>
        <v>0.15278697083849968</v>
      </c>
      <c r="E15" s="143">
        <f t="shared" si="2"/>
        <v>0.1528061173613364</v>
      </c>
      <c r="F15" s="26">
        <f t="shared" si="2"/>
        <v>0.16852655074189726</v>
      </c>
      <c r="G15" s="143">
        <f t="shared" si="2"/>
        <v>0.18519791496673069</v>
      </c>
      <c r="H15" s="26">
        <f t="shared" si="2"/>
        <v>0.18348409665631046</v>
      </c>
      <c r="I15" s="143">
        <f t="shared" si="2"/>
        <v>0.17470498000386886</v>
      </c>
      <c r="J15" s="26">
        <f t="shared" si="2"/>
        <v>0.17544168058363366</v>
      </c>
      <c r="K15" s="143">
        <f t="shared" si="2"/>
        <v>0.16387515286861276</v>
      </c>
      <c r="L15" s="26">
        <f>L9/L12</f>
        <v>0.16770445249198865</v>
      </c>
      <c r="M15" s="143">
        <v>0.16800000000000001</v>
      </c>
      <c r="N15" s="26">
        <f>N9/N12</f>
        <v>0.17123768487811963</v>
      </c>
      <c r="O15" s="143">
        <v>0.17</v>
      </c>
      <c r="P15" s="26">
        <f t="shared" ref="P15:U15" si="3">P9/P12</f>
        <v>0.16462526181586376</v>
      </c>
      <c r="Q15" s="143">
        <f t="shared" si="3"/>
        <v>0.16854865865978225</v>
      </c>
      <c r="R15" s="26">
        <f t="shared" si="3"/>
        <v>0.17209225564219993</v>
      </c>
      <c r="S15" s="143">
        <f t="shared" si="3"/>
        <v>0.16889174843171947</v>
      </c>
      <c r="T15" s="26">
        <f t="shared" si="3"/>
        <v>0.16751042575889827</v>
      </c>
      <c r="U15" s="143">
        <f t="shared" si="3"/>
        <v>0.16810153132433017</v>
      </c>
      <c r="V15" s="26">
        <f t="shared" ref="V15" si="4">V9/V12</f>
        <v>0.18067115191918365</v>
      </c>
    </row>
    <row r="16" spans="1:22" ht="24.95" customHeight="1">
      <c r="B16" s="22" t="s">
        <v>37</v>
      </c>
      <c r="C16" s="143">
        <f t="shared" ref="C16:K16" si="5">C8/C12</f>
        <v>0.15837655953962243</v>
      </c>
      <c r="D16" s="26">
        <f t="shared" si="5"/>
        <v>0.15281882800506316</v>
      </c>
      <c r="E16" s="143">
        <f t="shared" si="5"/>
        <v>0.1528061173613364</v>
      </c>
      <c r="F16" s="26">
        <f t="shared" si="5"/>
        <v>0.16894819145776421</v>
      </c>
      <c r="G16" s="143">
        <f t="shared" si="5"/>
        <v>0.18519791496673069</v>
      </c>
      <c r="H16" s="26">
        <f t="shared" si="5"/>
        <v>0.18499398367709585</v>
      </c>
      <c r="I16" s="143">
        <f t="shared" si="5"/>
        <v>0.1761103650771928</v>
      </c>
      <c r="J16" s="26">
        <f t="shared" si="5"/>
        <v>0.1764378424306349</v>
      </c>
      <c r="K16" s="143">
        <f t="shared" si="5"/>
        <v>0.16480565746796405</v>
      </c>
      <c r="L16" s="26">
        <f>L8/L12</f>
        <v>0.16830367610660971</v>
      </c>
      <c r="M16" s="143">
        <v>0.16900000000000001</v>
      </c>
      <c r="N16" s="26">
        <f t="shared" ref="N16:S16" si="6">N8/N12</f>
        <v>0.17150940427489048</v>
      </c>
      <c r="O16" s="143">
        <f t="shared" si="6"/>
        <v>0.16990505374097548</v>
      </c>
      <c r="P16" s="26">
        <f t="shared" si="6"/>
        <v>0.16462526181586376</v>
      </c>
      <c r="Q16" s="143">
        <f t="shared" si="6"/>
        <v>0.16854865865978225</v>
      </c>
      <c r="R16" s="26">
        <f t="shared" si="6"/>
        <v>0.17209225564219993</v>
      </c>
      <c r="S16" s="143">
        <f t="shared" si="6"/>
        <v>0.16889174843171947</v>
      </c>
      <c r="T16" s="26">
        <f t="shared" ref="T16:U16" si="7">T8/T12</f>
        <v>0.16751042575889827</v>
      </c>
      <c r="U16" s="143">
        <f t="shared" si="7"/>
        <v>0.16810153132433017</v>
      </c>
      <c r="V16" s="26">
        <f t="shared" ref="V16" si="8">V8/V12</f>
        <v>0.18067115191918365</v>
      </c>
    </row>
    <row r="17" spans="2:22" ht="24.95" customHeight="1">
      <c r="B17" s="18" t="s">
        <v>38</v>
      </c>
      <c r="C17" s="144">
        <f t="shared" ref="C17:K17" si="9">C11/C12</f>
        <v>0.16107865481860936</v>
      </c>
      <c r="D17" s="27">
        <f t="shared" si="9"/>
        <v>0.16897041145275277</v>
      </c>
      <c r="E17" s="144">
        <f t="shared" si="9"/>
        <v>0.16544019015760361</v>
      </c>
      <c r="F17" s="27">
        <f t="shared" si="9"/>
        <v>0.19599806507568998</v>
      </c>
      <c r="G17" s="144">
        <f t="shared" si="9"/>
        <v>0.21475821684562896</v>
      </c>
      <c r="H17" s="27">
        <f t="shared" si="9"/>
        <v>0.20777358351242312</v>
      </c>
      <c r="I17" s="144">
        <f t="shared" si="9"/>
        <v>0.19759714130934544</v>
      </c>
      <c r="J17" s="27">
        <f t="shared" si="9"/>
        <v>0.22056195247722013</v>
      </c>
      <c r="K17" s="144">
        <f t="shared" si="9"/>
        <v>0.21404264369649598</v>
      </c>
      <c r="L17" s="27">
        <f>L11/L12</f>
        <v>0.21689289529218664</v>
      </c>
      <c r="M17" s="144">
        <v>0.216</v>
      </c>
      <c r="N17" s="27">
        <f t="shared" ref="N17:S17" si="10">N11/N12</f>
        <v>0.21589891312241291</v>
      </c>
      <c r="O17" s="144">
        <f t="shared" si="10"/>
        <v>0.211435336722613</v>
      </c>
      <c r="P17" s="27">
        <f t="shared" si="10"/>
        <v>0.20346507604043348</v>
      </c>
      <c r="Q17" s="144">
        <f t="shared" si="10"/>
        <v>0.20572454820967562</v>
      </c>
      <c r="R17" s="27">
        <f t="shared" si="10"/>
        <v>0.20538845566695549</v>
      </c>
      <c r="S17" s="144">
        <f t="shared" si="10"/>
        <v>0.2003779958179186</v>
      </c>
      <c r="T17" s="27">
        <f>T11/T12</f>
        <v>0.20605178935117835</v>
      </c>
      <c r="U17" s="144">
        <f t="shared" ref="T17:U17" si="11">U11/U12</f>
        <v>0.19543551335731557</v>
      </c>
      <c r="V17" s="27">
        <f>V11/V12</f>
        <v>0.20586491073802171</v>
      </c>
    </row>
    <row r="18" spans="2:22" s="30" customFormat="1" ht="15" customHeight="1">
      <c r="B18" s="88"/>
      <c r="C18" s="89"/>
      <c r="D18" s="89"/>
      <c r="E18" s="89"/>
      <c r="F18" s="89"/>
      <c r="G18" s="89"/>
      <c r="H18" s="89"/>
      <c r="I18" s="89"/>
      <c r="J18" s="89"/>
      <c r="K18" s="89"/>
      <c r="L18" s="89"/>
      <c r="M18" s="89"/>
      <c r="N18" s="89"/>
      <c r="O18" s="89"/>
      <c r="P18" s="89"/>
      <c r="Q18" s="89"/>
      <c r="R18" s="89"/>
      <c r="S18" s="89"/>
      <c r="T18" s="89"/>
      <c r="U18" s="89"/>
      <c r="V18" s="89"/>
    </row>
    <row r="19" spans="2:22" ht="24.95" customHeight="1">
      <c r="B19" s="92" t="s">
        <v>75</v>
      </c>
      <c r="C19" s="95"/>
      <c r="D19" s="96"/>
      <c r="E19" s="97"/>
      <c r="F19" s="96"/>
      <c r="G19" s="97"/>
      <c r="H19" s="96"/>
      <c r="I19" s="97"/>
      <c r="J19" s="97"/>
      <c r="K19" s="97"/>
      <c r="L19" s="97"/>
      <c r="M19" s="97"/>
      <c r="N19" s="97"/>
      <c r="O19" s="97"/>
      <c r="P19" s="97"/>
      <c r="Q19" s="97"/>
      <c r="R19" s="97"/>
      <c r="S19" s="97"/>
      <c r="T19" s="97"/>
      <c r="U19" s="97"/>
      <c r="V19" s="97"/>
    </row>
    <row r="20" spans="2:22" ht="24.95" customHeight="1">
      <c r="B20" s="22" t="s">
        <v>59</v>
      </c>
      <c r="C20" s="145">
        <v>6.5000000000000002E-2</v>
      </c>
      <c r="D20" s="25">
        <v>6.7000000000000004E-2</v>
      </c>
      <c r="E20" s="143">
        <v>6.2E-2</v>
      </c>
      <c r="F20" s="25">
        <v>6.5000000000000002E-2</v>
      </c>
      <c r="G20" s="143">
        <v>6.4000000000000001E-2</v>
      </c>
      <c r="H20" s="25">
        <v>6.0999999999999999E-2</v>
      </c>
      <c r="I20" s="143">
        <v>6.3E-2</v>
      </c>
      <c r="J20" s="26">
        <v>6.7000000000000004E-2</v>
      </c>
      <c r="K20" s="143">
        <v>6.3E-2</v>
      </c>
      <c r="L20" s="26">
        <v>5.8999999999999997E-2</v>
      </c>
      <c r="M20" s="143">
        <v>6.8000000000000005E-2</v>
      </c>
      <c r="N20" s="26">
        <v>7.0000000000000007E-2</v>
      </c>
      <c r="O20" s="143">
        <v>7.1999999999999995E-2</v>
      </c>
      <c r="P20" s="26">
        <v>6.3E-2</v>
      </c>
      <c r="Q20" s="143">
        <v>5.8999999999999997E-2</v>
      </c>
      <c r="R20" s="26">
        <v>6.8000000000000005E-2</v>
      </c>
      <c r="S20" s="143">
        <v>6.5000000000000002E-2</v>
      </c>
      <c r="T20" s="26">
        <v>6.8000000000000005E-2</v>
      </c>
      <c r="U20" s="143">
        <v>6.4000000000000001E-2</v>
      </c>
      <c r="V20" s="26">
        <v>6.3E-2</v>
      </c>
    </row>
    <row r="21" spans="2:22" ht="12.75" customHeight="1">
      <c r="B21" s="12"/>
      <c r="C21" s="12"/>
      <c r="D21" s="11"/>
      <c r="E21" s="11"/>
      <c r="F21" s="11"/>
      <c r="G21" s="11"/>
      <c r="H21" s="11"/>
      <c r="I21" s="11"/>
      <c r="J21" s="11"/>
      <c r="K21" s="11"/>
    </row>
    <row r="22" spans="2:22" s="106" customFormat="1">
      <c r="B22" s="180"/>
      <c r="C22" s="180"/>
      <c r="D22" s="180"/>
      <c r="E22" s="180"/>
      <c r="F22" s="180"/>
      <c r="G22" s="180"/>
      <c r="H22" s="180"/>
      <c r="I22" s="180"/>
      <c r="J22" s="180"/>
      <c r="K22" s="180"/>
      <c r="L22" s="180"/>
      <c r="M22" s="180"/>
      <c r="N22" s="180"/>
    </row>
    <row r="23" spans="2:22" ht="12.75" customHeight="1"/>
    <row r="24" spans="2:22" ht="12.75" customHeight="1"/>
    <row r="25" spans="2:22" ht="12.75" customHeight="1"/>
    <row r="26" spans="2:22" ht="12.75" customHeight="1"/>
    <row r="27" spans="2:22" ht="12.75" customHeight="1"/>
    <row r="28" spans="2:22" ht="12.75" customHeight="1"/>
    <row r="29" spans="2:22" ht="12.75" customHeight="1"/>
    <row r="30" spans="2:22" ht="12.75" customHeight="1"/>
    <row r="31" spans="2:22" ht="12.75" customHeight="1"/>
    <row r="32" spans="2:2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N22"/>
  </mergeCells>
  <printOptions horizontalCentered="1" verticalCentered="1"/>
  <pageMargins left="0.23622047244094491" right="0.23622047244094491" top="0.35433070866141736" bottom="0.35433070866141736" header="0.31496062992125984" footer="0.31496062992125984"/>
  <pageSetup paperSize="9" scale="97"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CM Arkéa - Compte de résultat</vt:lpstr>
      <vt:lpstr>CM Arkéa - Bilan</vt:lpstr>
      <vt:lpstr>CM Arkéa - Capital</vt:lpstr>
      <vt:lpstr>'CM Arkéa - Bilan'!Zone_d_impression</vt:lpstr>
      <vt:lpstr>'CM 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FLOCHLAY MARINA</cp:lastModifiedBy>
  <cp:lastPrinted>2021-02-18T20:31:10Z</cp:lastPrinted>
  <dcterms:created xsi:type="dcterms:W3CDTF">2019-07-16T13:32:44Z</dcterms:created>
  <dcterms:modified xsi:type="dcterms:W3CDTF">2025-08-19T07:59:55Z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