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15" windowWidth="27900" windowHeight="4890"/>
  </bookViews>
  <sheets>
    <sheet name="Intro - Disclaimer" sheetId="7" r:id="rId1"/>
    <sheet name="CM Arkéa - Income statement" sheetId="9" r:id="rId2"/>
    <sheet name="CM Arkéa - Balance Sheet" sheetId="8" r:id="rId3"/>
    <sheet name="CM Arkéa - Capital" sheetId="5" r:id="rId4"/>
  </sheets>
  <externalReferences>
    <externalReference r:id="rId5"/>
  </externalReferences>
  <definedNames>
    <definedName name="q">#REF!</definedName>
    <definedName name="_xlnm.Print_Area" localSheetId="2">'CM Arkéa - Balance Sheet'!$B$1:$O$38</definedName>
    <definedName name="_xlnm.Print_Area" localSheetId="3">'CM Arkéa - Capital'!$B$1:$J$22</definedName>
    <definedName name="_xlnm.Print_Area" localSheetId="0">'Intro - Disclaimer'!$B$1:$M$20</definedName>
  </definedNames>
  <calcPr calcId="145621"/>
</workbook>
</file>

<file path=xl/calcChain.xml><?xml version="1.0" encoding="utf-8"?>
<calcChain xmlns="http://schemas.openxmlformats.org/spreadsheetml/2006/main">
  <c r="T7" i="9" l="1"/>
  <c r="T20" i="9" s="1"/>
  <c r="X18" i="9"/>
  <c r="X17" i="9"/>
  <c r="X16" i="9"/>
  <c r="X12" i="9"/>
  <c r="X11" i="9"/>
  <c r="X10" i="9"/>
  <c r="X9" i="9"/>
  <c r="X8" i="9"/>
  <c r="X7" i="9"/>
  <c r="V20" i="9"/>
  <c r="Y38" i="8"/>
  <c r="Y25" i="8"/>
  <c r="Y23" i="8"/>
  <c r="V17" i="5"/>
  <c r="V16" i="5"/>
  <c r="V15" i="5"/>
  <c r="V10" i="5"/>
  <c r="U20" i="5" l="1"/>
  <c r="U12" i="5"/>
  <c r="U15" i="5" s="1"/>
  <c r="U11" i="5"/>
  <c r="U9" i="5"/>
  <c r="U8" i="5"/>
  <c r="U16" i="5" s="1"/>
  <c r="X38" i="8"/>
  <c r="X37" i="8"/>
  <c r="X36" i="8"/>
  <c r="X35" i="8"/>
  <c r="X34" i="8"/>
  <c r="X33" i="8"/>
  <c r="X32" i="8"/>
  <c r="X31" i="8"/>
  <c r="X30" i="8"/>
  <c r="X29" i="8"/>
  <c r="X28" i="8"/>
  <c r="X27" i="8"/>
  <c r="X23" i="8"/>
  <c r="X22" i="8"/>
  <c r="X21" i="8"/>
  <c r="X20" i="8"/>
  <c r="X19" i="8"/>
  <c r="X18" i="8"/>
  <c r="X17" i="8"/>
  <c r="X16" i="8"/>
  <c r="X15" i="8"/>
  <c r="X14" i="8"/>
  <c r="X13" i="8"/>
  <c r="X12" i="8"/>
  <c r="X11" i="8"/>
  <c r="X10" i="8"/>
  <c r="X9" i="8"/>
  <c r="U17" i="5" l="1"/>
  <c r="U10" i="5"/>
  <c r="T17" i="5" l="1"/>
  <c r="T16" i="5"/>
  <c r="T15" i="5"/>
  <c r="T10" i="5"/>
  <c r="W35" i="8"/>
  <c r="W21" i="8"/>
  <c r="W20" i="8"/>
  <c r="S17" i="5" l="1"/>
  <c r="R17" i="5"/>
  <c r="S16" i="5"/>
  <c r="R16" i="5"/>
  <c r="S15" i="5"/>
  <c r="R15" i="5"/>
  <c r="S10" i="5"/>
  <c r="R10" i="5"/>
  <c r="U38" i="8"/>
  <c r="V35" i="8"/>
  <c r="V38" i="8" s="1"/>
  <c r="U35" i="8"/>
  <c r="V21" i="8"/>
  <c r="U21" i="8"/>
  <c r="U23" i="8" s="1"/>
  <c r="V20" i="8"/>
  <c r="V23" i="8" s="1"/>
  <c r="U20" i="8"/>
  <c r="Q15" i="5" l="1"/>
  <c r="Q16" i="5"/>
  <c r="Q17" i="5"/>
  <c r="Q20" i="9" l="1"/>
  <c r="S38" i="8"/>
  <c r="S23" i="8"/>
  <c r="R38" i="8" l="1"/>
  <c r="R25" i="8"/>
  <c r="R23" i="8" l="1"/>
  <c r="P16" i="5"/>
  <c r="P15" i="5"/>
  <c r="P17" i="5"/>
  <c r="Q38" i="8"/>
  <c r="Q23" i="8"/>
  <c r="O20" i="9"/>
  <c r="N20" i="9" l="1"/>
  <c r="N10" i="9"/>
  <c r="N12" i="9" s="1"/>
  <c r="N17" i="9" s="1"/>
  <c r="P38" i="8"/>
  <c r="P23" i="8"/>
  <c r="N17" i="5"/>
  <c r="N15" i="5"/>
  <c r="N8" i="5"/>
  <c r="N16" i="5" s="1"/>
  <c r="O35" i="8" l="1"/>
  <c r="O38" i="8" s="1"/>
  <c r="O21" i="8"/>
  <c r="O23" i="8" s="1"/>
  <c r="O20" i="8"/>
  <c r="M20" i="9"/>
  <c r="L16" i="5" l="1"/>
  <c r="L15" i="5"/>
  <c r="L11" i="5"/>
  <c r="L17" i="5" s="1"/>
  <c r="N35" i="8" l="1"/>
  <c r="N21" i="8"/>
  <c r="N20" i="8"/>
  <c r="L20" i="9"/>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<sst xmlns="http://schemas.openxmlformats.org/spreadsheetml/2006/main" count="137" uniqueCount="81">
  <si>
    <t>Provisions</t>
  </si>
  <si>
    <t>-</t>
  </si>
  <si>
    <t>IAS 39</t>
  </si>
  <si>
    <t>IFRS 9</t>
  </si>
  <si>
    <t>TOTAL</t>
  </si>
  <si>
    <t>Cash, due from central banks</t>
  </si>
  <si>
    <t>Financial assets at fair value through profit or loss</t>
  </si>
  <si>
    <t>Derivatives used for hedging purposes</t>
  </si>
  <si>
    <t>Securities at amortized cost</t>
  </si>
  <si>
    <t>Loans and receivables - customers, at amortized cost</t>
  </si>
  <si>
    <t>Loans and receivables - credit institutions, at amortized cost</t>
  </si>
  <si>
    <t>Held-to-maturity financial assets</t>
  </si>
  <si>
    <t>Remeasurement adjustment on interest-rate risk hedged portfolios</t>
  </si>
  <si>
    <t>Placement of insurance activities</t>
  </si>
  <si>
    <t>Goodwill</t>
  </si>
  <si>
    <t>Financial liabilities at fair value through profit or loss</t>
  </si>
  <si>
    <t>Debt securities</t>
  </si>
  <si>
    <t>Due to banks</t>
  </si>
  <si>
    <t>Insurance companies' technical reserves</t>
  </si>
  <si>
    <t>Subordinated debt</t>
  </si>
  <si>
    <t>Other liabilities</t>
  </si>
  <si>
    <t>Shareholders' equity, group share</t>
  </si>
  <si>
    <t>Non-controlling interests</t>
  </si>
  <si>
    <t>Financial assets at fair value through equity</t>
  </si>
  <si>
    <t>Operating expenses</t>
  </si>
  <si>
    <t>Gross operating income</t>
  </si>
  <si>
    <t>Cost of risk</t>
  </si>
  <si>
    <t>Operating income</t>
  </si>
  <si>
    <t>Share of earnings of companies carried under equity method</t>
  </si>
  <si>
    <t>Net income on other assets</t>
  </si>
  <si>
    <t>Goodwill variations</t>
  </si>
  <si>
    <t>Income tax</t>
  </si>
  <si>
    <t>Net income</t>
  </si>
  <si>
    <t>Net income - Group share</t>
  </si>
  <si>
    <t>Cost-to-income ratio</t>
  </si>
  <si>
    <t>INCOME STATEMENT</t>
  </si>
  <si>
    <t>BALANCE SHEET</t>
  </si>
  <si>
    <t>REGULATORY CAPITAL</t>
  </si>
  <si>
    <t>Common Equity Tier 1 ratio</t>
  </si>
  <si>
    <t>Tier 1 ratio</t>
  </si>
  <si>
    <t>Total ratio</t>
  </si>
  <si>
    <t>Leverage ratio</t>
  </si>
  <si>
    <t xml:space="preserve">       including Common Equity Tier 1 (CET 1)</t>
  </si>
  <si>
    <t>Tier 1 capital net of deductions</t>
  </si>
  <si>
    <t>Total regulatory capital</t>
  </si>
  <si>
    <t xml:space="preserve">Total RWAs </t>
  </si>
  <si>
    <t>(in millions of euros)</t>
  </si>
  <si>
    <r>
      <rPr>
        <b/>
        <sz val="10"/>
        <color theme="0"/>
        <rFont val="Arial"/>
        <family val="2"/>
      </rPr>
      <t xml:space="preserve">Assets </t>
    </r>
    <r>
      <rPr>
        <i/>
        <sz val="10"/>
        <color theme="0"/>
        <rFont val="Arial"/>
        <family val="2"/>
      </rPr>
      <t>(in millions of euros)</t>
    </r>
  </si>
  <si>
    <r>
      <rPr>
        <b/>
        <sz val="10"/>
        <color theme="0"/>
        <rFont val="Arial"/>
        <family val="2"/>
      </rPr>
      <t xml:space="preserve">Liabilities </t>
    </r>
    <r>
      <rPr>
        <i/>
        <sz val="10"/>
        <color theme="0"/>
        <rFont val="Arial"/>
        <family val="2"/>
      </rPr>
      <t>(in millions of euros)</t>
    </r>
  </si>
  <si>
    <t>Depreciation and amortization</t>
  </si>
  <si>
    <t>Available-for-sale financial assets</t>
  </si>
  <si>
    <t>Tax assets, sundry assets, non-current assets held for sale, deferred profit-sharing, investments in associates</t>
  </si>
  <si>
    <t>Investment real estate, property, plant and equipment and intangible assets</t>
  </si>
  <si>
    <t xml:space="preserve">Liabilities to customers </t>
  </si>
  <si>
    <t>CAPITAL AND SOLVENCY RATIOS</t>
  </si>
  <si>
    <t>Tier 2 capital net of deductions</t>
  </si>
  <si>
    <t>1H2017</t>
  </si>
  <si>
    <t>1H2018</t>
  </si>
  <si>
    <t>1H2016</t>
  </si>
  <si>
    <t>1H2019</t>
  </si>
  <si>
    <t>Dec-19</t>
  </si>
  <si>
    <t>Revenues*</t>
  </si>
  <si>
    <t>1H2020</t>
  </si>
  <si>
    <t>Dec-20</t>
  </si>
  <si>
    <t>1H2021</t>
  </si>
  <si>
    <t>Dec-21</t>
  </si>
  <si>
    <t>1H2022</t>
  </si>
  <si>
    <t>Dec-22</t>
  </si>
  <si>
    <t>1H2023</t>
  </si>
  <si>
    <t>IFRS 17</t>
  </si>
  <si>
    <t>Dec-23</t>
  </si>
  <si>
    <t>1H2024</t>
  </si>
  <si>
    <t>Dec-24</t>
  </si>
  <si>
    <t>LEVERAGE RATIOS</t>
  </si>
  <si>
    <t>SOLVENCY RATIOS</t>
  </si>
  <si>
    <t xml:space="preserve">ns. </t>
  </si>
  <si>
    <t>- 4,5 pts</t>
  </si>
  <si>
    <t>1H2025</t>
  </si>
  <si>
    <t>H1-25 / H1-24</t>
  </si>
  <si>
    <t xml:space="preserve">* Since 2019, revenues correspond to the net banking and insurance income including gains on disposal or dilution in investments in associates. Revenues for previous years correspond to the net banking and insurance income. </t>
  </si>
  <si>
    <r>
      <rPr>
        <b/>
        <sz val="20"/>
        <color theme="0" tint="-0.499984740745262"/>
        <rFont val="Arial"/>
        <family val="2"/>
      </rPr>
      <t xml:space="preserve">Disclaimer
</t>
    </r>
    <r>
      <rPr>
        <sz val="10"/>
        <color theme="0" tint="-0.499984740745262"/>
        <rFont val="Arial"/>
        <family val="2"/>
      </rPr>
      <t xml:space="preserve">
- The financial information within this document is based upon Registration  Documents of 2015, 2016, 2017, 2018, Universal Registration Documents and annual financial report since 2019, available at www.arkea.com. In the event of contradiction between information in this document and information in documents previously mentioned, the latter prevail. 
- The sum of values contained in the tables and analyses may differ slightly from the total reported due to rounding.
- The figures presented in this document have been prepared in accordance with IFRS as adopted in the European Union and with prudential regulations applicable at the relevant periods.
- Entities included in the consolidation scope are those over which the Crédit Mutuel Arkéa exercises exclusive or joint control or significant influence and whose financial statements have a material impact on Crédit Mutuel Arkéa's consolidated financial statements.
- The financial information disseminated in this document shall not be considered as an incentive to invest. In no event, they shall be construed as a solicitation of business, an advice, a public offer or a financial service and they do not constitute an offer to buy, sell or subscribe any securities or other investment product. 
- Crédit Mutuel Arkéa and any entity of the group and their respective contributors disclaim all liability for any losses or damages, whether direct or indirect that may result from access, or the inability to access or use this information and use that could be made of the financial information and the possible consequences of such use, in particular as regards decisions made or actions taken on the basis thereof.</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</si>
</sst>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409]mmm\-yy;@"/>
    <numFmt numFmtId="338" formatCode="&quot;- &quot;0&quot; pts&quot;"/>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20"/>
      <color theme="0" tint="-0.499984740745262"/>
      <name val="Arial"/>
      <family val="2"/>
    </font>
    <font>
      <b/>
      <sz val="10"/>
      <color rgb="FFFF0000"/>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1">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204">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11" fillId="0" borderId="66" xfId="2" applyFont="1" applyFill="1" applyBorder="1" applyAlignment="1">
      <alignment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67"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337" fontId="9" fillId="3" borderId="0" xfId="2" applyNumberFormat="1" applyFont="1" applyFill="1" applyAlignment="1">
      <alignment horizontal="center" vertical="center"/>
    </xf>
    <xf numFmtId="337" fontId="9" fillId="2" borderId="0" xfId="2" applyNumberFormat="1" applyFont="1" applyFill="1" applyAlignment="1">
      <alignment horizontal="center" vertical="center"/>
    </xf>
    <xf numFmtId="337" fontId="9" fillId="2" borderId="0" xfId="2" applyNumberFormat="1" applyFont="1" applyFill="1" applyBorder="1" applyAlignment="1">
      <alignment horizontal="center" vertical="center"/>
    </xf>
    <xf numFmtId="0" fontId="253" fillId="2" borderId="67" xfId="0" applyFont="1" applyFill="1" applyBorder="1" applyAlignment="1">
      <alignment horizontal="left" vertical="center"/>
    </xf>
    <xf numFmtId="0" fontId="253" fillId="2" borderId="68" xfId="0" applyFont="1" applyFill="1" applyBorder="1" applyAlignment="1">
      <alignment horizontal="left" vertical="center" wrapText="1"/>
    </xf>
    <xf numFmtId="337" fontId="9" fillId="3"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1" fontId="9" fillId="0" borderId="0" xfId="2" applyNumberFormat="1" applyFont="1" applyFill="1" applyBorder="1" applyAlignment="1">
      <alignment horizontal="center" vertical="center" wrapText="1"/>
    </xf>
    <xf numFmtId="0" fontId="7" fillId="0" borderId="0" xfId="2" applyFill="1" applyBorder="1" applyAlignment="1">
      <alignment horizontal="center" vertical="center"/>
    </xf>
    <xf numFmtId="3" fontId="264" fillId="0" borderId="0" xfId="2" applyNumberFormat="1" applyFont="1" applyFill="1" applyBorder="1" applyAlignment="1">
      <alignment horizontal="center" vertical="center" wrapText="1"/>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338" fontId="267" fillId="2" borderId="2" xfId="1" quotePrefix="1" applyNumberFormat="1" applyFont="1" applyFill="1" applyBorder="1" applyAlignment="1">
      <alignment horizontal="center" vertical="center" wrapText="1"/>
    </xf>
    <xf numFmtId="167" fontId="0" fillId="0" borderId="0" xfId="0" applyNumberFormat="1" applyAlignment="1">
      <alignment horizontal="center" vertical="center"/>
    </xf>
    <xf numFmtId="167" fontId="0" fillId="0" borderId="0" xfId="0" applyNumberFormat="1" applyFill="1" applyBorder="1" applyAlignment="1">
      <alignment horizontal="center" vertical="center"/>
    </xf>
    <xf numFmtId="0" fontId="261" fillId="0" borderId="0" xfId="2" applyFont="1" applyFill="1" applyAlignment="1">
      <alignment horizontal="left" vertical="center" wrapText="1"/>
    </xf>
    <xf numFmtId="3" fontId="253" fillId="2" borderId="67" xfId="0" applyNumberFormat="1" applyFont="1" applyFill="1" applyBorder="1" applyAlignment="1">
      <alignment horizontal="right" vertical="center"/>
    </xf>
    <xf numFmtId="3" fontId="253" fillId="2" borderId="0" xfId="0" applyNumberFormat="1" applyFont="1" applyFill="1" applyAlignment="1">
      <alignment horizontal="right" vertical="center"/>
    </xf>
    <xf numFmtId="3" fontId="253" fillId="2" borderId="68" xfId="0" applyNumberFormat="1" applyFont="1" applyFill="1" applyBorder="1" applyAlignment="1">
      <alignment horizontal="right" vertical="center"/>
    </xf>
    <xf numFmtId="3" fontId="255" fillId="92" borderId="67" xfId="0" applyNumberFormat="1" applyFont="1" applyFill="1" applyBorder="1" applyAlignment="1">
      <alignment horizontal="right" vertical="center"/>
    </xf>
    <xf numFmtId="3" fontId="253" fillId="0" borderId="69" xfId="0" applyNumberFormat="1" applyFont="1" applyBorder="1" applyAlignment="1">
      <alignment horizontal="right" vertical="center"/>
    </xf>
    <xf numFmtId="17" fontId="9" fillId="2" borderId="68" xfId="2" applyNumberFormat="1" applyFont="1" applyFill="1" applyBorder="1" applyAlignment="1">
      <alignment horizontal="right" vertical="center"/>
    </xf>
    <xf numFmtId="336" fontId="253" fillId="2" borderId="67" xfId="0" applyNumberFormat="1" applyFont="1" applyFill="1" applyBorder="1" applyAlignment="1">
      <alignment horizontal="right" vertical="center"/>
    </xf>
    <xf numFmtId="336" fontId="253" fillId="2" borderId="68" xfId="0" applyNumberFormat="1" applyFont="1" applyFill="1" applyBorder="1" applyAlignment="1">
      <alignment horizontal="right" vertical="center"/>
    </xf>
    <xf numFmtId="336" fontId="253" fillId="2" borderId="0" xfId="0" applyNumberFormat="1" applyFont="1" applyFill="1" applyAlignment="1">
      <alignment horizontal="right" vertical="center"/>
    </xf>
    <xf numFmtId="336" fontId="255" fillId="2" borderId="68" xfId="0" applyNumberFormat="1" applyFont="1" applyFill="1" applyBorder="1" applyAlignment="1">
      <alignment horizontal="right" vertical="center"/>
    </xf>
    <xf numFmtId="0" fontId="7" fillId="0" borderId="0" xfId="2" applyBorder="1" applyAlignment="1">
      <alignment horizontal="center" vertical="center"/>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61" fillId="0" borderId="0" xfId="2" applyFont="1" applyFill="1" applyAlignment="1">
      <alignment horizontal="left" vertical="center" wrapText="1"/>
    </xf>
    <xf numFmtId="0" fontId="253" fillId="0" borderId="58" xfId="0" applyFont="1" applyBorder="1" applyAlignment="1">
      <alignment horizontal="left" vertical="center" wrapText="1"/>
    </xf>
    <xf numFmtId="0" fontId="253" fillId="0" borderId="59" xfId="0" applyFont="1" applyBorder="1" applyAlignment="1">
      <alignment horizontal="left" vertical="center"/>
    </xf>
    <xf numFmtId="0" fontId="253" fillId="0" borderId="60" xfId="0" applyFont="1" applyBorder="1" applyAlignment="1">
      <alignment horizontal="left" vertical="center"/>
    </xf>
    <xf numFmtId="0" fontId="253" fillId="0" borderId="61" xfId="0" applyFont="1" applyBorder="1" applyAlignment="1">
      <alignment horizontal="left" vertical="center"/>
    </xf>
    <xf numFmtId="0" fontId="253" fillId="0" borderId="0" xfId="0" applyFont="1" applyBorder="1" applyAlignment="1">
      <alignment horizontal="left" vertical="center"/>
    </xf>
    <xf numFmtId="0" fontId="253" fillId="0" borderId="62" xfId="0" applyFont="1" applyBorder="1" applyAlignment="1">
      <alignment horizontal="left" vertical="center"/>
    </xf>
    <xf numFmtId="0" fontId="253" fillId="0" borderId="63" xfId="0" applyFont="1" applyBorder="1" applyAlignment="1">
      <alignment horizontal="left" vertical="center"/>
    </xf>
    <xf numFmtId="0" fontId="253" fillId="0" borderId="54" xfId="0" applyFont="1" applyBorder="1" applyAlignment="1">
      <alignment horizontal="left" vertical="center"/>
    </xf>
    <xf numFmtId="0" fontId="253" fillId="0" borderId="64" xfId="0" applyFont="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xf numFmtId="3" fontId="264" fillId="0" borderId="66" xfId="2" applyNumberFormat="1" applyFont="1" applyFill="1" applyBorder="1" applyAlignment="1">
      <alignment horizontal="center" vertical="center" wrapText="1"/>
    </xf>
    <xf numFmtId="3" fontId="263" fillId="0" borderId="0" xfId="2" applyNumberFormat="1" applyFont="1" applyFill="1" applyAlignment="1">
      <alignment horizontal="center" vertical="center" wrapText="1"/>
    </xf>
    <xf numFmtId="3" fontId="264" fillId="0" borderId="2" xfId="2" applyNumberFormat="1" applyFont="1" applyFill="1" applyBorder="1" applyAlignment="1">
      <alignment horizontal="center" vertical="center" wrapText="1"/>
    </xf>
    <xf numFmtId="3" fontId="263" fillId="0" borderId="2" xfId="2" applyNumberFormat="1" applyFont="1" applyFill="1" applyBorder="1" applyAlignment="1">
      <alignment horizontal="center" vertical="center" wrapText="1"/>
    </xf>
    <xf numFmtId="0" fontId="263" fillId="0" borderId="0" xfId="2" applyFont="1" applyFill="1" applyAlignment="1">
      <alignment horizontal="center" vertical="center"/>
    </xf>
    <xf numFmtId="167" fontId="264" fillId="0" borderId="2" xfId="1" applyNumberFormat="1" applyFont="1" applyFill="1" applyBorder="1" applyAlignment="1">
      <alignment horizontal="center" vertical="center" wrapText="1"/>
    </xf>
    <xf numFmtId="10" fontId="263" fillId="0" borderId="0" xfId="1" applyNumberFormat="1" applyFont="1" applyAlignment="1">
      <alignment horizontal="center" vertical="center"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95250</xdr:colOff>
      <xdr:row>2</xdr:row>
      <xdr:rowOff>114299</xdr:rowOff>
    </xdr:from>
    <xdr:to>
      <xdr:col>1</xdr:col>
      <xdr:colOff>1314450</xdr:colOff>
      <xdr:row>3</xdr:row>
      <xdr:rowOff>314324</xdr:rowOff>
    </xdr:to>
    <xdr:pic>
      <xdr:nvPicPr>
        <xdr:cNvPr id="4" name="Image 3" descr="C:\Users\a3273\Pictures\Downloads\E01_ARK_LOGO_CMA_QUADRI_MM.jp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609599"/>
          <a:ext cx="1219200" cy="4476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161925</xdr:rowOff>
    </xdr:from>
    <xdr:to>
      <xdr:col>1</xdr:col>
      <xdr:colOff>923925</xdr:colOff>
      <xdr:row>3</xdr:row>
      <xdr:rowOff>28575</xdr:rowOff>
    </xdr:to>
    <xdr:pic>
      <xdr:nvPicPr>
        <xdr:cNvPr id="4" name="Image 3" descr="C:\Users\a3273\Pictures\Downloads\E01_ARK_LOGO_CMA_QUADRI_MM.jpg">
          <a:extLst>
            <a:ext uri="{FF2B5EF4-FFF2-40B4-BE49-F238E27FC236}">
              <a16:creationId xmlns="" xmlns:a16="http://schemas.microsoft.com/office/drawing/2014/main" id="{00000000-0008-0000-01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09575"/>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1</xdr:row>
      <xdr:rowOff>171450</xdr:rowOff>
    </xdr:from>
    <xdr:to>
      <xdr:col>1</xdr:col>
      <xdr:colOff>923925</xdr:colOff>
      <xdr:row>3</xdr:row>
      <xdr:rowOff>38100</xdr:rowOff>
    </xdr:to>
    <xdr:pic>
      <xdr:nvPicPr>
        <xdr:cNvPr id="3" name="Image 2" descr="C:\Users\a3273\Pictures\Downloads\E01_ARK_LOGO_CMA_QUADRI_MM.jpg">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419100"/>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47625</xdr:colOff>
      <xdr:row>1</xdr:row>
      <xdr:rowOff>114300</xdr:rowOff>
    </xdr:from>
    <xdr:to>
      <xdr:col>1</xdr:col>
      <xdr:colOff>933450</xdr:colOff>
      <xdr:row>2</xdr:row>
      <xdr:rowOff>228600</xdr:rowOff>
    </xdr:to>
    <xdr:pic>
      <xdr:nvPicPr>
        <xdr:cNvPr id="4" name="Image 3" descr="C:\Users\a3273\Pictures\Downloads\E01_ARK_LOGO_CMA_QUADRI_MM.jpg">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61950"/>
          <a:ext cx="885825" cy="3619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r&#233;dit%20Mutuel%20Ark&#233;a_series_semestrielles_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Avertissement"/>
      <sheetName val="CM Arkéa - Compte de résultat"/>
      <sheetName val="CM Arkéa - Bilan"/>
      <sheetName val="CM Arkéa - Capital"/>
    </sheetNames>
    <sheetDataSet>
      <sheetData sheetId="0" refreshError="1"/>
      <sheetData sheetId="1" refreshError="1"/>
      <sheetData sheetId="2" refreshError="1">
        <row r="9">
          <cell r="X9">
            <v>10232.249</v>
          </cell>
        </row>
        <row r="10">
          <cell r="X10">
            <v>1896.5889999999999</v>
          </cell>
        </row>
        <row r="11">
          <cell r="X11">
            <v>3292.6419999999998</v>
          </cell>
        </row>
        <row r="12">
          <cell r="X12">
            <v>11647.947</v>
          </cell>
        </row>
        <row r="13">
          <cell r="X13" t="str">
            <v>-</v>
          </cell>
        </row>
        <row r="14">
          <cell r="X14">
            <v>1548.4580000000001</v>
          </cell>
        </row>
        <row r="15">
          <cell r="X15">
            <v>14201.191000000001</v>
          </cell>
        </row>
        <row r="16">
          <cell r="X16">
            <v>90382.061000000002</v>
          </cell>
        </row>
        <row r="17">
          <cell r="X17">
            <v>-1760.9739999999999</v>
          </cell>
        </row>
        <row r="18">
          <cell r="X18" t="str">
            <v>-</v>
          </cell>
        </row>
        <row r="19">
          <cell r="X19">
            <v>63416.974000000002</v>
          </cell>
        </row>
        <row r="20">
          <cell r="X20">
            <v>1826.43</v>
          </cell>
        </row>
        <row r="21">
          <cell r="X21">
            <v>1283.1300000000001</v>
          </cell>
        </row>
        <row r="22">
          <cell r="X22">
            <v>462.64100000000002</v>
          </cell>
        </row>
        <row r="23">
          <cell r="X23">
            <v>198429.33799999999</v>
          </cell>
        </row>
        <row r="27">
          <cell r="X27">
            <v>2768.7559999999999</v>
          </cell>
        </row>
        <row r="28">
          <cell r="X28">
            <v>3065.5740000000001</v>
          </cell>
        </row>
        <row r="29">
          <cell r="X29">
            <v>25943.39</v>
          </cell>
        </row>
        <row r="30">
          <cell r="X30">
            <v>4309.3609999999999</v>
          </cell>
        </row>
        <row r="31">
          <cell r="X31">
            <v>89241.296000000002</v>
          </cell>
        </row>
        <row r="32">
          <cell r="X32">
            <v>55000.603999999999</v>
          </cell>
        </row>
        <row r="33">
          <cell r="X33">
            <v>259.255</v>
          </cell>
        </row>
        <row r="34">
          <cell r="X34">
            <v>2342.6619999999998</v>
          </cell>
        </row>
        <row r="35">
          <cell r="X35">
            <v>5567.27</v>
          </cell>
        </row>
        <row r="36">
          <cell r="X36">
            <v>9917.7610999999997</v>
          </cell>
        </row>
        <row r="37">
          <cell r="X37">
            <v>13.414</v>
          </cell>
        </row>
        <row r="38">
          <cell r="X38">
            <v>198429.3431</v>
          </cell>
        </row>
      </sheetData>
      <sheetData sheetId="3" refreshError="1">
        <row r="8">
          <cell r="U8">
            <v>8551.4930000000004</v>
          </cell>
        </row>
        <row r="9">
          <cell r="U9">
            <v>8551.4930000000004</v>
          </cell>
        </row>
        <row r="11">
          <cell r="U11">
            <v>9942</v>
          </cell>
        </row>
        <row r="12">
          <cell r="U12">
            <v>50871</v>
          </cell>
        </row>
        <row r="20">
          <cell r="U20">
            <v>6.4000000000000001E-2</v>
          </cell>
        </row>
      </sheetData>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tabSelected="1" topLeftCell="A4" zoomScaleNormal="100" workbookViewId="0">
      <selection activeCell="S8" sqref="S8"/>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4"/>
    </row>
    <row r="2" spans="1:13" s="5" customFormat="1" ht="19.899999999999999" customHeight="1">
      <c r="A2" s="1"/>
      <c r="B2" s="1"/>
      <c r="I2" s="54"/>
    </row>
    <row r="3" spans="1:13" s="5" customFormat="1" ht="19.899999999999999" customHeight="1">
      <c r="A3" s="1"/>
      <c r="B3" s="1"/>
      <c r="I3" s="54"/>
    </row>
    <row r="4" spans="1:13" ht="34.9" customHeight="1" thickBot="1"/>
    <row r="5" spans="1:13" ht="19.899999999999999" customHeight="1" thickTop="1">
      <c r="B5" s="183" t="s">
        <v>80</v>
      </c>
      <c r="C5" s="184"/>
      <c r="D5" s="184"/>
      <c r="E5" s="184"/>
      <c r="F5" s="184"/>
      <c r="G5" s="184"/>
      <c r="H5" s="184"/>
      <c r="I5" s="184"/>
      <c r="J5" s="184"/>
      <c r="K5" s="184"/>
      <c r="L5" s="184"/>
      <c r="M5" s="185"/>
    </row>
    <row r="6" spans="1:13" ht="19.899999999999999" customHeight="1">
      <c r="B6" s="186"/>
      <c r="C6" s="187"/>
      <c r="D6" s="187"/>
      <c r="E6" s="187"/>
      <c r="F6" s="187"/>
      <c r="G6" s="187"/>
      <c r="H6" s="187"/>
      <c r="I6" s="187"/>
      <c r="J6" s="187"/>
      <c r="K6" s="187"/>
      <c r="L6" s="187"/>
      <c r="M6" s="188"/>
    </row>
    <row r="7" spans="1:13" ht="19.899999999999999" customHeight="1">
      <c r="B7" s="186"/>
      <c r="C7" s="187"/>
      <c r="D7" s="187"/>
      <c r="E7" s="187"/>
      <c r="F7" s="187"/>
      <c r="G7" s="187"/>
      <c r="H7" s="187"/>
      <c r="I7" s="187"/>
      <c r="J7" s="187"/>
      <c r="K7" s="187"/>
      <c r="L7" s="187"/>
      <c r="M7" s="188"/>
    </row>
    <row r="8" spans="1:13" ht="19.899999999999999" customHeight="1">
      <c r="B8" s="186"/>
      <c r="C8" s="187"/>
      <c r="D8" s="187"/>
      <c r="E8" s="187"/>
      <c r="F8" s="187"/>
      <c r="G8" s="187"/>
      <c r="H8" s="187"/>
      <c r="I8" s="187"/>
      <c r="J8" s="187"/>
      <c r="K8" s="187"/>
      <c r="L8" s="187"/>
      <c r="M8" s="188"/>
    </row>
    <row r="9" spans="1:13" ht="19.899999999999999" customHeight="1">
      <c r="B9" s="186"/>
      <c r="C9" s="187"/>
      <c r="D9" s="187"/>
      <c r="E9" s="187"/>
      <c r="F9" s="187"/>
      <c r="G9" s="187"/>
      <c r="H9" s="187"/>
      <c r="I9" s="187"/>
      <c r="J9" s="187"/>
      <c r="K9" s="187"/>
      <c r="L9" s="187"/>
      <c r="M9" s="188"/>
    </row>
    <row r="10" spans="1:13" ht="19.899999999999999" customHeight="1">
      <c r="B10" s="186"/>
      <c r="C10" s="187"/>
      <c r="D10" s="187"/>
      <c r="E10" s="187"/>
      <c r="F10" s="187"/>
      <c r="G10" s="187"/>
      <c r="H10" s="187"/>
      <c r="I10" s="187"/>
      <c r="J10" s="187"/>
      <c r="K10" s="187"/>
      <c r="L10" s="187"/>
      <c r="M10" s="188"/>
    </row>
    <row r="11" spans="1:13" ht="19.899999999999999" customHeight="1">
      <c r="B11" s="186"/>
      <c r="C11" s="187"/>
      <c r="D11" s="187"/>
      <c r="E11" s="187"/>
      <c r="F11" s="187"/>
      <c r="G11" s="187"/>
      <c r="H11" s="187"/>
      <c r="I11" s="187"/>
      <c r="J11" s="187"/>
      <c r="K11" s="187"/>
      <c r="L11" s="187"/>
      <c r="M11" s="188"/>
    </row>
    <row r="12" spans="1:13" ht="19.899999999999999" customHeight="1">
      <c r="B12" s="186"/>
      <c r="C12" s="187"/>
      <c r="D12" s="187"/>
      <c r="E12" s="187"/>
      <c r="F12" s="187"/>
      <c r="G12" s="187"/>
      <c r="H12" s="187"/>
      <c r="I12" s="187"/>
      <c r="J12" s="187"/>
      <c r="K12" s="187"/>
      <c r="L12" s="187"/>
      <c r="M12" s="188"/>
    </row>
    <row r="13" spans="1:13" ht="19.899999999999999" customHeight="1">
      <c r="B13" s="186"/>
      <c r="C13" s="187"/>
      <c r="D13" s="187"/>
      <c r="E13" s="187"/>
      <c r="F13" s="187"/>
      <c r="G13" s="187"/>
      <c r="H13" s="187"/>
      <c r="I13" s="187"/>
      <c r="J13" s="187"/>
      <c r="K13" s="187"/>
      <c r="L13" s="187"/>
      <c r="M13" s="188"/>
    </row>
    <row r="14" spans="1:13" ht="19.899999999999999" customHeight="1">
      <c r="B14" s="186"/>
      <c r="C14" s="187"/>
      <c r="D14" s="187"/>
      <c r="E14" s="187"/>
      <c r="F14" s="187"/>
      <c r="G14" s="187"/>
      <c r="H14" s="187"/>
      <c r="I14" s="187"/>
      <c r="J14" s="187"/>
      <c r="K14" s="187"/>
      <c r="L14" s="187"/>
      <c r="M14" s="188"/>
    </row>
    <row r="15" spans="1:13" ht="19.899999999999999" customHeight="1">
      <c r="B15" s="186"/>
      <c r="C15" s="187"/>
      <c r="D15" s="187"/>
      <c r="E15" s="187"/>
      <c r="F15" s="187"/>
      <c r="G15" s="187"/>
      <c r="H15" s="187"/>
      <c r="I15" s="187"/>
      <c r="J15" s="187"/>
      <c r="K15" s="187"/>
      <c r="L15" s="187"/>
      <c r="M15" s="188"/>
    </row>
    <row r="16" spans="1:13" ht="19.899999999999999" customHeight="1">
      <c r="B16" s="186"/>
      <c r="C16" s="187"/>
      <c r="D16" s="187"/>
      <c r="E16" s="187"/>
      <c r="F16" s="187"/>
      <c r="G16" s="187"/>
      <c r="H16" s="187"/>
      <c r="I16" s="187"/>
      <c r="J16" s="187"/>
      <c r="K16" s="187"/>
      <c r="L16" s="187"/>
      <c r="M16" s="188"/>
    </row>
    <row r="17" spans="2:13" ht="19.899999999999999" customHeight="1">
      <c r="B17" s="186"/>
      <c r="C17" s="187"/>
      <c r="D17" s="187"/>
      <c r="E17" s="187"/>
      <c r="F17" s="187"/>
      <c r="G17" s="187"/>
      <c r="H17" s="187"/>
      <c r="I17" s="187"/>
      <c r="J17" s="187"/>
      <c r="K17" s="187"/>
      <c r="L17" s="187"/>
      <c r="M17" s="188"/>
    </row>
    <row r="18" spans="2:13" ht="19.899999999999999" customHeight="1">
      <c r="B18" s="186"/>
      <c r="C18" s="187"/>
      <c r="D18" s="187"/>
      <c r="E18" s="187"/>
      <c r="F18" s="187"/>
      <c r="G18" s="187"/>
      <c r="H18" s="187"/>
      <c r="I18" s="187"/>
      <c r="J18" s="187"/>
      <c r="K18" s="187"/>
      <c r="L18" s="187"/>
      <c r="M18" s="188"/>
    </row>
    <row r="19" spans="2:13" ht="19.899999999999999" customHeight="1">
      <c r="B19" s="186"/>
      <c r="C19" s="187"/>
      <c r="D19" s="187"/>
      <c r="E19" s="187"/>
      <c r="F19" s="187"/>
      <c r="G19" s="187"/>
      <c r="H19" s="187"/>
      <c r="I19" s="187"/>
      <c r="J19" s="187"/>
      <c r="K19" s="187"/>
      <c r="L19" s="187"/>
      <c r="M19" s="188"/>
    </row>
    <row r="20" spans="2:13" ht="19.899999999999999" customHeight="1" thickBot="1">
      <c r="B20" s="189"/>
      <c r="C20" s="190"/>
      <c r="D20" s="190"/>
      <c r="E20" s="190"/>
      <c r="F20" s="190"/>
      <c r="G20" s="190"/>
      <c r="H20" s="190"/>
      <c r="I20" s="190"/>
      <c r="J20" s="190"/>
      <c r="K20" s="190"/>
      <c r="L20" s="190"/>
      <c r="M20" s="191"/>
    </row>
    <row r="21" spans="2:13" ht="19.899999999999999" customHeight="1" thickTop="1"/>
  </sheetData>
  <mergeCells count="1">
    <mergeCell ref="B5:M20"/>
  </mergeCells>
  <pageMargins left="0.25" right="0.25" top="0.75" bottom="0.75" header="0.3" footer="0.3"/>
  <pageSetup paperSize="9" scale="9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2"/>
  <sheetViews>
    <sheetView showGridLines="0" topLeftCell="A19" zoomScaleNormal="100" workbookViewId="0">
      <selection activeCell="G25" sqref="G25"/>
    </sheetView>
  </sheetViews>
  <sheetFormatPr baseColWidth="10" defaultRowHeight="15"/>
  <cols>
    <col min="1" max="1" width="2.7109375" customWidth="1"/>
    <col min="2" max="2" width="36.85546875" bestFit="1" customWidth="1"/>
    <col min="3" max="22" width="8.7109375" style="85" customWidth="1"/>
    <col min="23" max="23" width="2.7109375" style="151" customWidth="1"/>
    <col min="24" max="24" width="12.42578125" customWidth="1"/>
  </cols>
  <sheetData>
    <row r="1" spans="1:24" s="5" customFormat="1" ht="19.899999999999999" customHeight="1">
      <c r="A1" s="1"/>
      <c r="B1" s="1"/>
      <c r="W1" s="150"/>
    </row>
    <row r="2" spans="1:24" s="5" customFormat="1" ht="19.899999999999999" customHeight="1">
      <c r="A2" s="1"/>
      <c r="B2" s="1"/>
      <c r="W2" s="150"/>
    </row>
    <row r="3" spans="1:24" s="5" customFormat="1" ht="19.899999999999999" customHeight="1">
      <c r="A3" s="1"/>
      <c r="B3" s="1"/>
      <c r="R3" s="193" t="s">
        <v>69</v>
      </c>
      <c r="S3" s="193"/>
      <c r="T3" s="193"/>
      <c r="U3" s="193"/>
      <c r="V3" s="193"/>
      <c r="W3" s="150"/>
    </row>
    <row r="4" spans="1:24" ht="35.1" customHeight="1">
      <c r="B4" s="75" t="s">
        <v>35</v>
      </c>
    </row>
    <row r="5" spans="1:24" ht="30" customHeight="1">
      <c r="B5" s="9" t="s">
        <v>46</v>
      </c>
      <c r="C5" s="2">
        <v>2015</v>
      </c>
      <c r="D5" s="149" t="s">
        <v>58</v>
      </c>
      <c r="E5" s="2">
        <v>2016</v>
      </c>
      <c r="F5" s="149" t="s">
        <v>56</v>
      </c>
      <c r="G5" s="2">
        <v>2017</v>
      </c>
      <c r="H5" s="149" t="s">
        <v>57</v>
      </c>
      <c r="I5" s="2">
        <v>2018</v>
      </c>
      <c r="J5" s="149" t="s">
        <v>59</v>
      </c>
      <c r="K5" s="2">
        <v>2019</v>
      </c>
      <c r="L5" s="2" t="s">
        <v>62</v>
      </c>
      <c r="M5" s="2">
        <v>2020</v>
      </c>
      <c r="N5" s="2" t="s">
        <v>64</v>
      </c>
      <c r="O5" s="2">
        <v>2021</v>
      </c>
      <c r="P5" s="2" t="s">
        <v>66</v>
      </c>
      <c r="Q5" s="2">
        <v>2022</v>
      </c>
      <c r="R5" s="2" t="s">
        <v>68</v>
      </c>
      <c r="S5" s="2">
        <v>2023</v>
      </c>
      <c r="T5" s="2" t="s">
        <v>71</v>
      </c>
      <c r="U5" s="2">
        <v>2024</v>
      </c>
      <c r="V5" s="2" t="s">
        <v>77</v>
      </c>
      <c r="W5" s="152"/>
      <c r="X5" s="2" t="s">
        <v>78</v>
      </c>
    </row>
    <row r="6" spans="1:24">
      <c r="B6" s="89"/>
      <c r="C6" s="90"/>
      <c r="D6" s="90"/>
      <c r="E6" s="90"/>
      <c r="F6" s="90"/>
      <c r="G6" s="90"/>
      <c r="H6" s="90"/>
      <c r="I6" s="90"/>
      <c r="J6" s="90"/>
      <c r="K6" s="90"/>
      <c r="L6" s="90"/>
      <c r="M6" s="90"/>
      <c r="N6" s="172"/>
      <c r="O6" s="90"/>
      <c r="P6" s="172"/>
      <c r="Q6" s="90"/>
      <c r="R6" s="172"/>
      <c r="S6" s="90"/>
      <c r="T6" s="172"/>
      <c r="U6" s="90"/>
      <c r="V6" s="90"/>
      <c r="W6" s="153"/>
      <c r="X6" s="90"/>
    </row>
    <row r="7" spans="1:24" ht="24.95" customHeight="1">
      <c r="B7" s="88" t="s">
        <v>61</v>
      </c>
      <c r="C7" s="81">
        <v>1780</v>
      </c>
      <c r="D7" s="116">
        <v>936.42499999999995</v>
      </c>
      <c r="E7" s="123">
        <v>1851.9880000000001</v>
      </c>
      <c r="F7" s="116">
        <v>1002.766</v>
      </c>
      <c r="G7" s="123">
        <v>2089.6060000000002</v>
      </c>
      <c r="H7" s="116">
        <v>1082.423</v>
      </c>
      <c r="I7" s="123">
        <v>2145.8049999999998</v>
      </c>
      <c r="J7" s="116">
        <v>1115.819</v>
      </c>
      <c r="K7" s="123">
        <v>2303</v>
      </c>
      <c r="L7" s="116">
        <v>1096.4269999999999</v>
      </c>
      <c r="M7" s="123">
        <v>2157.5230000000001</v>
      </c>
      <c r="N7" s="118">
        <v>1224.0640000000001</v>
      </c>
      <c r="O7" s="123">
        <v>2530.65</v>
      </c>
      <c r="P7" s="118">
        <v>1342.5550000000001</v>
      </c>
      <c r="Q7" s="123">
        <v>2569.7350000000001</v>
      </c>
      <c r="R7" s="118">
        <v>1120.048</v>
      </c>
      <c r="S7" s="123">
        <v>2139.7719999999999</v>
      </c>
      <c r="T7" s="118">
        <f>1032.353+15.191</f>
        <v>1047.5440000000001</v>
      </c>
      <c r="U7" s="123">
        <v>2183.5250000000001</v>
      </c>
      <c r="V7" s="197">
        <v>1148.3</v>
      </c>
      <c r="W7" s="154"/>
      <c r="X7" s="173">
        <f>V7/T7-1</f>
        <v>9.6183072023704907E-2</v>
      </c>
    </row>
    <row r="8" spans="1:24" ht="24.95" customHeight="1">
      <c r="B8" s="3" t="s">
        <v>24</v>
      </c>
      <c r="C8" s="82">
        <v>-1137</v>
      </c>
      <c r="D8" s="117">
        <v>-606.42100000000005</v>
      </c>
      <c r="E8" s="124">
        <v>-1171.597</v>
      </c>
      <c r="F8" s="117">
        <v>-632.298</v>
      </c>
      <c r="G8" s="124">
        <v>-1313.0809999999999</v>
      </c>
      <c r="H8" s="117">
        <v>-675.46400000000006</v>
      </c>
      <c r="I8" s="124">
        <v>-1394.211</v>
      </c>
      <c r="J8" s="117">
        <f>-708.439</f>
        <v>-708.43899999999996</v>
      </c>
      <c r="K8" s="124">
        <v>-1446</v>
      </c>
      <c r="L8" s="117">
        <v>-600.29999999999995</v>
      </c>
      <c r="M8" s="124">
        <v>-1353.2570000000001</v>
      </c>
      <c r="N8" s="117">
        <v>-734.89700000000005</v>
      </c>
      <c r="O8" s="124">
        <v>-1550.442</v>
      </c>
      <c r="P8" s="117">
        <v>-797.58199999999999</v>
      </c>
      <c r="Q8" s="124">
        <v>-1658.0630000000001</v>
      </c>
      <c r="R8" s="117">
        <v>-724.798</v>
      </c>
      <c r="S8" s="124">
        <v>-1441.9490000000001</v>
      </c>
      <c r="T8" s="117">
        <v>-718.96600000000001</v>
      </c>
      <c r="U8" s="124">
        <v>-1416.78</v>
      </c>
      <c r="V8" s="198">
        <v>-726.5</v>
      </c>
      <c r="W8" s="155"/>
      <c r="X8" s="174">
        <f t="shared" ref="X8:X18" si="0">V8/T8-1</f>
        <v>1.047893780790754E-2</v>
      </c>
    </row>
    <row r="9" spans="1:24" ht="24.95" customHeight="1">
      <c r="B9" s="3" t="s">
        <v>49</v>
      </c>
      <c r="C9" s="82">
        <v>-99</v>
      </c>
      <c r="D9" s="117">
        <v>-50.887</v>
      </c>
      <c r="E9" s="124">
        <v>-110.69499999999999</v>
      </c>
      <c r="F9" s="117">
        <v>-55.572000000000003</v>
      </c>
      <c r="G9" s="124">
        <v>-114.291</v>
      </c>
      <c r="H9" s="117">
        <v>-58.106000000000002</v>
      </c>
      <c r="I9" s="124">
        <v>-119.31399999999999</v>
      </c>
      <c r="J9" s="117">
        <v>-64.188000000000002</v>
      </c>
      <c r="K9" s="124">
        <v>-133</v>
      </c>
      <c r="L9" s="117">
        <v>-67.001999999999995</v>
      </c>
      <c r="M9" s="124">
        <v>-139.761</v>
      </c>
      <c r="N9" s="117">
        <v>-71.703000000000003</v>
      </c>
      <c r="O9" s="124">
        <v>-151.60499999999999</v>
      </c>
      <c r="P9" s="117">
        <v>-73.049000000000007</v>
      </c>
      <c r="Q9" s="124">
        <v>-155.95500000000001</v>
      </c>
      <c r="R9" s="117">
        <v>-74.713999999999999</v>
      </c>
      <c r="S9" s="124">
        <v>-125.42400000000001</v>
      </c>
      <c r="T9" s="117">
        <v>-44.241</v>
      </c>
      <c r="U9" s="124">
        <v>-84.790999999999997</v>
      </c>
      <c r="V9" s="198">
        <v>-58.3</v>
      </c>
      <c r="W9" s="155"/>
      <c r="X9" s="174">
        <f t="shared" si="0"/>
        <v>0.31778214778146952</v>
      </c>
    </row>
    <row r="10" spans="1:24" ht="24.95" customHeight="1">
      <c r="B10" s="7" t="s">
        <v>25</v>
      </c>
      <c r="C10" s="81">
        <v>545</v>
      </c>
      <c r="D10" s="118">
        <v>279.11700000000002</v>
      </c>
      <c r="E10" s="120">
        <v>569.69600000000003</v>
      </c>
      <c r="F10" s="118">
        <v>314.89600000000002</v>
      </c>
      <c r="G10" s="120">
        <v>662.23400000000004</v>
      </c>
      <c r="H10" s="118">
        <v>348.85300000000001</v>
      </c>
      <c r="I10" s="120">
        <v>632.28</v>
      </c>
      <c r="J10" s="118">
        <v>343.19200000000001</v>
      </c>
      <c r="K10" s="120">
        <v>724</v>
      </c>
      <c r="L10" s="118">
        <v>429.125</v>
      </c>
      <c r="M10" s="120">
        <v>664.5</v>
      </c>
      <c r="N10" s="118">
        <f>+N7+N8+N9</f>
        <v>417.46400000000006</v>
      </c>
      <c r="O10" s="120">
        <v>828.60299999999995</v>
      </c>
      <c r="P10" s="118">
        <v>471.92399999999998</v>
      </c>
      <c r="Q10" s="120">
        <v>755.43</v>
      </c>
      <c r="R10" s="118">
        <v>320.49900000000002</v>
      </c>
      <c r="S10" s="120">
        <v>602.42499999999995</v>
      </c>
      <c r="T10" s="118">
        <v>284.32400000000001</v>
      </c>
      <c r="U10" s="120">
        <v>681.95400000000018</v>
      </c>
      <c r="V10" s="199">
        <v>363.49599999999998</v>
      </c>
      <c r="W10" s="154"/>
      <c r="X10" s="122">
        <f t="shared" si="0"/>
        <v>0.2784569716239218</v>
      </c>
    </row>
    <row r="11" spans="1:24" ht="24.95" customHeight="1">
      <c r="B11" s="3" t="s">
        <v>26</v>
      </c>
      <c r="C11" s="82">
        <v>-108</v>
      </c>
      <c r="D11" s="117">
        <v>-26.041</v>
      </c>
      <c r="E11" s="124">
        <v>-103.21</v>
      </c>
      <c r="F11" s="117">
        <v>-25.332999999999998</v>
      </c>
      <c r="G11" s="124">
        <v>-52.731000000000002</v>
      </c>
      <c r="H11" s="117">
        <v>-37.662999999999997</v>
      </c>
      <c r="I11" s="124">
        <v>-63.679000000000002</v>
      </c>
      <c r="J11" s="117">
        <v>-33.729999999999997</v>
      </c>
      <c r="K11" s="124">
        <v>-99</v>
      </c>
      <c r="L11" s="117">
        <v>-84.22</v>
      </c>
      <c r="M11" s="124">
        <v>-160.07</v>
      </c>
      <c r="N11" s="117">
        <v>-52.588999999999999</v>
      </c>
      <c r="O11" s="124">
        <v>-115.789</v>
      </c>
      <c r="P11" s="117">
        <v>-48.966999999999999</v>
      </c>
      <c r="Q11" s="124">
        <v>-136.006</v>
      </c>
      <c r="R11" s="117">
        <v>-54.447000000000003</v>
      </c>
      <c r="S11" s="124">
        <v>-94.344999999999999</v>
      </c>
      <c r="T11" s="117">
        <v>-75.930000000000007</v>
      </c>
      <c r="U11" s="124">
        <v>-179.89500000000001</v>
      </c>
      <c r="V11" s="198">
        <v>-87.39</v>
      </c>
      <c r="W11" s="155"/>
      <c r="X11" s="174">
        <f t="shared" si="0"/>
        <v>0.15092848676412474</v>
      </c>
    </row>
    <row r="12" spans="1:24" ht="24.95" customHeight="1">
      <c r="B12" s="8" t="s">
        <v>27</v>
      </c>
      <c r="C12" s="81">
        <v>437</v>
      </c>
      <c r="D12" s="118">
        <v>253.07599999999999</v>
      </c>
      <c r="E12" s="120">
        <v>466.48599999999999</v>
      </c>
      <c r="F12" s="118">
        <v>289.56299999999999</v>
      </c>
      <c r="G12" s="120">
        <v>609.50300000000004</v>
      </c>
      <c r="H12" s="118">
        <v>311.19</v>
      </c>
      <c r="I12" s="120">
        <v>568.601</v>
      </c>
      <c r="J12" s="118">
        <v>309.46199999999999</v>
      </c>
      <c r="K12" s="120">
        <v>626</v>
      </c>
      <c r="L12" s="118">
        <v>344.90499999999997</v>
      </c>
      <c r="M12" s="120">
        <v>504.43400000000003</v>
      </c>
      <c r="N12" s="118">
        <f>+N10+N11</f>
        <v>364.87500000000006</v>
      </c>
      <c r="O12" s="120">
        <v>712.81399999999996</v>
      </c>
      <c r="P12" s="118">
        <v>422.95699999999999</v>
      </c>
      <c r="Q12" s="120">
        <v>619.42399999999998</v>
      </c>
      <c r="R12" s="118">
        <v>266.05200000000002</v>
      </c>
      <c r="S12" s="120">
        <v>508.08</v>
      </c>
      <c r="T12" s="118">
        <v>208.4</v>
      </c>
      <c r="U12" s="120">
        <v>502.06400000000002</v>
      </c>
      <c r="V12" s="199">
        <v>276.10000000000002</v>
      </c>
      <c r="W12" s="154"/>
      <c r="X12" s="122">
        <f t="shared" si="0"/>
        <v>0.3248560460652592</v>
      </c>
    </row>
    <row r="13" spans="1:24" ht="24.95" customHeight="1">
      <c r="B13" s="4" t="s">
        <v>28</v>
      </c>
      <c r="C13" s="82">
        <v>4</v>
      </c>
      <c r="D13" s="117">
        <v>4.9589999999999996</v>
      </c>
      <c r="E13" s="124">
        <v>10.061999999999999</v>
      </c>
      <c r="F13" s="117">
        <v>1.6739999999999999</v>
      </c>
      <c r="G13" s="124">
        <v>23.919</v>
      </c>
      <c r="H13" s="117">
        <v>6.5460000000000003</v>
      </c>
      <c r="I13" s="124">
        <v>0.248</v>
      </c>
      <c r="J13" s="117">
        <f>0.434</f>
        <v>0.434</v>
      </c>
      <c r="K13" s="124">
        <v>-1.837</v>
      </c>
      <c r="L13" s="117">
        <v>1.165</v>
      </c>
      <c r="M13" s="124">
        <v>1.1000000000000001</v>
      </c>
      <c r="N13" s="117">
        <v>2.6440000000000001</v>
      </c>
      <c r="O13" s="124">
        <v>3.4253950301201397</v>
      </c>
      <c r="P13" s="117">
        <v>3.03019665999176</v>
      </c>
      <c r="Q13" s="124">
        <v>0.635496030672978</v>
      </c>
      <c r="R13" s="117">
        <v>1.117</v>
      </c>
      <c r="S13" s="124">
        <v>15.358000000000001</v>
      </c>
      <c r="T13" s="117">
        <v>5</v>
      </c>
      <c r="U13" s="124">
        <v>9.9317700000000002</v>
      </c>
      <c r="V13" s="198">
        <v>5</v>
      </c>
      <c r="W13" s="155"/>
      <c r="X13" s="174" t="s">
        <v>75</v>
      </c>
    </row>
    <row r="14" spans="1:24" ht="24.95" customHeight="1">
      <c r="B14" s="3" t="s">
        <v>29</v>
      </c>
      <c r="C14" s="82">
        <v>2</v>
      </c>
      <c r="D14" s="117">
        <v>-3.1829999999999998</v>
      </c>
      <c r="E14" s="124">
        <v>-3.3460000000000001</v>
      </c>
      <c r="F14" s="117">
        <v>-2.032</v>
      </c>
      <c r="G14" s="124">
        <v>-2.4289999999999998</v>
      </c>
      <c r="H14" s="117">
        <v>0.47399999999999998</v>
      </c>
      <c r="I14" s="124">
        <v>4.8289999999999997</v>
      </c>
      <c r="J14" s="117">
        <f>23.789</f>
        <v>23.789000000000001</v>
      </c>
      <c r="K14" s="124">
        <v>1.918512</v>
      </c>
      <c r="L14" s="117">
        <v>-2.0219999999999998</v>
      </c>
      <c r="M14" s="124">
        <v>-1.9530000000000001</v>
      </c>
      <c r="N14" s="117">
        <v>0.54100000000000004</v>
      </c>
      <c r="O14" s="124">
        <v>0.34899999999999998</v>
      </c>
      <c r="P14" s="117">
        <v>9.9380000000000006</v>
      </c>
      <c r="Q14" s="124">
        <v>87.113</v>
      </c>
      <c r="R14" s="117">
        <v>-0.50600000000000001</v>
      </c>
      <c r="S14" s="124">
        <v>29.797000000000001</v>
      </c>
      <c r="T14" s="117">
        <v>-2</v>
      </c>
      <c r="U14" s="124">
        <v>-1.0840000000000001</v>
      </c>
      <c r="V14" s="198">
        <v>0.3</v>
      </c>
      <c r="W14" s="155"/>
      <c r="X14" s="203" t="s">
        <v>75</v>
      </c>
    </row>
    <row r="15" spans="1:24" ht="24.95" customHeight="1">
      <c r="B15" s="3" t="s">
        <v>30</v>
      </c>
      <c r="C15" s="82">
        <v>0</v>
      </c>
      <c r="D15" s="117">
        <v>0</v>
      </c>
      <c r="E15" s="124">
        <v>0</v>
      </c>
      <c r="F15" s="117">
        <v>0</v>
      </c>
      <c r="G15" s="124">
        <v>0</v>
      </c>
      <c r="H15" s="117">
        <v>19.626000000000001</v>
      </c>
      <c r="I15" s="124">
        <v>19.548999999999999</v>
      </c>
      <c r="J15" s="117">
        <v>0</v>
      </c>
      <c r="K15" s="124">
        <v>0</v>
      </c>
      <c r="L15" s="117">
        <v>0</v>
      </c>
      <c r="M15" s="124">
        <v>-10.974</v>
      </c>
      <c r="N15" s="117">
        <v>0</v>
      </c>
      <c r="O15" s="124">
        <v>0</v>
      </c>
      <c r="P15" s="117">
        <v>0</v>
      </c>
      <c r="Q15" s="124">
        <v>-33.710999999999999</v>
      </c>
      <c r="R15" s="117">
        <v>0</v>
      </c>
      <c r="S15" s="124">
        <v>-10.968999999999999</v>
      </c>
      <c r="T15" s="117">
        <v>0</v>
      </c>
      <c r="U15" s="124">
        <v>-11</v>
      </c>
      <c r="V15" s="198">
        <v>0</v>
      </c>
      <c r="W15" s="155"/>
      <c r="X15" s="174" t="s">
        <v>75</v>
      </c>
    </row>
    <row r="16" spans="1:24" ht="24.95" customHeight="1">
      <c r="B16" s="3" t="s">
        <v>31</v>
      </c>
      <c r="C16" s="82">
        <v>-147</v>
      </c>
      <c r="D16" s="117">
        <v>-68.144000000000005</v>
      </c>
      <c r="E16" s="124">
        <v>-136.86600000000001</v>
      </c>
      <c r="F16" s="117">
        <v>-95.825999999999993</v>
      </c>
      <c r="G16" s="124">
        <v>-202.751</v>
      </c>
      <c r="H16" s="117">
        <v>-91.284999999999997</v>
      </c>
      <c r="I16" s="124">
        <v>-155.69499999999999</v>
      </c>
      <c r="J16" s="117">
        <v>-89.47</v>
      </c>
      <c r="K16" s="124">
        <v>-132</v>
      </c>
      <c r="L16" s="117">
        <v>-94.594999999999999</v>
      </c>
      <c r="M16" s="124">
        <v>-136.346</v>
      </c>
      <c r="N16" s="117">
        <v>-91.108999999999995</v>
      </c>
      <c r="O16" s="124">
        <v>-143.047</v>
      </c>
      <c r="P16" s="117">
        <v>-76.013999999999996</v>
      </c>
      <c r="Q16" s="124">
        <v>-122.053</v>
      </c>
      <c r="R16" s="117">
        <v>-63.284999999999997</v>
      </c>
      <c r="S16" s="124">
        <v>123.58499999999999</v>
      </c>
      <c r="T16" s="117">
        <v>-41.73</v>
      </c>
      <c r="U16" s="124">
        <v>-100.372</v>
      </c>
      <c r="V16" s="198">
        <v>-82.16</v>
      </c>
      <c r="W16" s="155"/>
      <c r="X16" s="174">
        <f t="shared" si="0"/>
        <v>0.96884735202492211</v>
      </c>
    </row>
    <row r="17" spans="2:24" ht="24.95" customHeight="1">
      <c r="B17" s="6" t="s">
        <v>32</v>
      </c>
      <c r="C17" s="83">
        <v>296</v>
      </c>
      <c r="D17" s="119">
        <v>186.708</v>
      </c>
      <c r="E17" s="125">
        <v>336.33600000000001</v>
      </c>
      <c r="F17" s="119">
        <v>193.37899999999999</v>
      </c>
      <c r="G17" s="125">
        <v>428.24200000000002</v>
      </c>
      <c r="H17" s="119">
        <v>246.55099999999999</v>
      </c>
      <c r="I17" s="125">
        <v>437.53199999999998</v>
      </c>
      <c r="J17" s="119">
        <v>244</v>
      </c>
      <c r="K17" s="125">
        <v>511</v>
      </c>
      <c r="L17" s="119">
        <v>249.453</v>
      </c>
      <c r="M17" s="125">
        <v>356.267</v>
      </c>
      <c r="N17" s="119">
        <f>+N12+N13+N14+N15+N16</f>
        <v>276.95100000000008</v>
      </c>
      <c r="O17" s="125">
        <v>573.54139503012016</v>
      </c>
      <c r="P17" s="119">
        <v>359.91119665999173</v>
      </c>
      <c r="Q17" s="125">
        <v>551.40849603067306</v>
      </c>
      <c r="R17" s="119">
        <v>203.37799999999999</v>
      </c>
      <c r="S17" s="125">
        <v>418.68099999999998</v>
      </c>
      <c r="T17" s="119">
        <v>169.49</v>
      </c>
      <c r="U17" s="125">
        <v>399.53976999999998</v>
      </c>
      <c r="V17" s="200">
        <v>199.3</v>
      </c>
      <c r="W17" s="155"/>
      <c r="X17" s="175">
        <f t="shared" si="0"/>
        <v>0.17588058292524633</v>
      </c>
    </row>
    <row r="18" spans="2:24" ht="24.95" customHeight="1">
      <c r="B18" s="10" t="s">
        <v>33</v>
      </c>
      <c r="C18" s="81">
        <v>296</v>
      </c>
      <c r="D18" s="120">
        <v>186.69800000000001</v>
      </c>
      <c r="E18" s="120">
        <v>336.18700000000001</v>
      </c>
      <c r="F18" s="120">
        <v>193.262</v>
      </c>
      <c r="G18" s="120">
        <v>428.12099999999998</v>
      </c>
      <c r="H18" s="120">
        <v>246.511</v>
      </c>
      <c r="I18" s="120">
        <v>437.28800000000001</v>
      </c>
      <c r="J18" s="120">
        <v>244.35900000000001</v>
      </c>
      <c r="K18" s="120">
        <v>511</v>
      </c>
      <c r="L18" s="120">
        <v>249.46</v>
      </c>
      <c r="M18" s="120">
        <v>356.24099999999999</v>
      </c>
      <c r="N18" s="120">
        <v>277.05799999999999</v>
      </c>
      <c r="O18" s="120">
        <v>573.72335194326729</v>
      </c>
      <c r="P18" s="120">
        <v>359.91951973167357</v>
      </c>
      <c r="Q18" s="120">
        <v>550.71213185887007</v>
      </c>
      <c r="R18" s="120">
        <v>202.60400000000001</v>
      </c>
      <c r="S18" s="120">
        <v>416.75</v>
      </c>
      <c r="T18" s="120">
        <v>167.44</v>
      </c>
      <c r="U18" s="120">
        <v>395.15429999999998</v>
      </c>
      <c r="V18" s="120">
        <v>195.98</v>
      </c>
      <c r="W18" s="154"/>
      <c r="X18" s="126">
        <f t="shared" si="0"/>
        <v>0.17044911610128999</v>
      </c>
    </row>
    <row r="19" spans="2:24">
      <c r="B19" s="5"/>
      <c r="C19" s="80"/>
      <c r="D19" s="121"/>
      <c r="E19" s="121"/>
      <c r="F19" s="121"/>
      <c r="G19" s="121"/>
      <c r="H19" s="121"/>
      <c r="I19" s="121"/>
      <c r="J19" s="121"/>
      <c r="K19" s="121"/>
      <c r="L19" s="121"/>
      <c r="M19" s="121"/>
      <c r="N19" s="121"/>
      <c r="O19" s="121"/>
      <c r="P19" s="121"/>
      <c r="Q19" s="121"/>
      <c r="R19" s="121"/>
      <c r="S19" s="121"/>
      <c r="T19" s="121"/>
      <c r="U19" s="121"/>
      <c r="V19" s="201"/>
      <c r="W19" s="156"/>
      <c r="X19" s="80"/>
    </row>
    <row r="20" spans="2:24" ht="24.95" customHeight="1">
      <c r="B20" s="8" t="s">
        <v>34</v>
      </c>
      <c r="C20" s="84">
        <v>0.69516310461192354</v>
      </c>
      <c r="D20" s="122">
        <v>0.70193341698480927</v>
      </c>
      <c r="E20" s="126">
        <v>0.69238677572424867</v>
      </c>
      <c r="F20" s="122">
        <v>0.68597259978898373</v>
      </c>
      <c r="G20" s="126">
        <v>0.68308188242185353</v>
      </c>
      <c r="H20" s="122">
        <v>0.67771102424837615</v>
      </c>
      <c r="I20" s="126">
        <v>0.70534135207998871</v>
      </c>
      <c r="J20" s="122">
        <v>0.69242562724014334</v>
      </c>
      <c r="K20" s="126">
        <v>0.68500000000000005</v>
      </c>
      <c r="L20" s="122">
        <f>-(L8+L9)/L7</f>
        <v>0.60861507423658845</v>
      </c>
      <c r="M20" s="126">
        <f>-(M8+M9)/M7</f>
        <v>0.69200560086729079</v>
      </c>
      <c r="N20" s="122">
        <f>-(N8+N9)/N7</f>
        <v>0.65895247307330329</v>
      </c>
      <c r="O20" s="126">
        <f>-(O8+O9)/O7</f>
        <v>0.67257305435362458</v>
      </c>
      <c r="P20" s="122">
        <v>0.64848814387492504</v>
      </c>
      <c r="Q20" s="126">
        <f>-(Q8+Q9)/Q7</f>
        <v>0.70591636880845687</v>
      </c>
      <c r="R20" s="122">
        <v>0.71399999999999997</v>
      </c>
      <c r="S20" s="126">
        <v>0.73249533127828581</v>
      </c>
      <c r="T20" s="122">
        <f>-(T8+T9)/T7</f>
        <v>0.72856796468692475</v>
      </c>
      <c r="U20" s="126">
        <v>0.68768207371108636</v>
      </c>
      <c r="V20" s="202">
        <f>-(V8+V9)/V7</f>
        <v>0.68344509274579812</v>
      </c>
      <c r="W20" s="157"/>
      <c r="X20" s="158" t="s">
        <v>76</v>
      </c>
    </row>
    <row r="21" spans="2:24">
      <c r="L21" s="159"/>
      <c r="M21" s="159"/>
      <c r="N21" s="159"/>
      <c r="O21" s="159"/>
      <c r="P21" s="159"/>
      <c r="Q21" s="159"/>
      <c r="R21" s="159"/>
      <c r="S21" s="159"/>
      <c r="T21" s="159"/>
      <c r="U21" s="159"/>
      <c r="V21" s="159"/>
      <c r="W21" s="160"/>
    </row>
    <row r="22" spans="2:24" ht="24" customHeight="1">
      <c r="B22" s="192" t="s">
        <v>79</v>
      </c>
      <c r="C22" s="192"/>
      <c r="D22" s="192"/>
      <c r="E22" s="192"/>
      <c r="F22" s="192"/>
      <c r="G22" s="192"/>
      <c r="H22" s="192"/>
      <c r="I22" s="192"/>
      <c r="J22" s="192"/>
      <c r="K22" s="192"/>
      <c r="L22" s="192"/>
      <c r="M22" s="192"/>
      <c r="N22" s="161"/>
      <c r="O22" s="176"/>
      <c r="P22" s="177"/>
      <c r="Q22" s="178"/>
      <c r="R22" s="179"/>
      <c r="S22" s="179"/>
      <c r="T22" s="180"/>
      <c r="U22" s="182"/>
      <c r="V22" s="181"/>
      <c r="W22"/>
    </row>
  </sheetData>
  <mergeCells count="2">
    <mergeCell ref="B22:M22"/>
    <mergeCell ref="R3:V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2"/>
  <sheetViews>
    <sheetView showGridLines="0" topLeftCell="C19" zoomScaleNormal="100" workbookViewId="0">
      <selection activeCell="Z25" sqref="Z25"/>
    </sheetView>
  </sheetViews>
  <sheetFormatPr baseColWidth="10" defaultColWidth="11.42578125" defaultRowHeight="12.75"/>
  <cols>
    <col min="1" max="1" width="2.7109375" style="34" customWidth="1"/>
    <col min="2" max="2" width="55.140625" style="34" customWidth="1"/>
    <col min="3" max="3" width="12" style="34" customWidth="1"/>
    <col min="4" max="7" width="11.28515625" style="34" bestFit="1" customWidth="1"/>
    <col min="8" max="8" width="2.85546875" style="53" customWidth="1"/>
    <col min="9" max="10" width="11.28515625" style="34" bestFit="1" customWidth="1"/>
    <col min="11" max="11" width="10.7109375" style="34" customWidth="1"/>
    <col min="12" max="12" width="11.28515625" style="34" bestFit="1" customWidth="1"/>
    <col min="13" max="13" width="10.7109375" style="34" customWidth="1"/>
    <col min="14" max="15" width="11.28515625" style="34" bestFit="1" customWidth="1"/>
    <col min="16" max="16" width="10.7109375" style="34" customWidth="1"/>
    <col min="17" max="17" width="11.28515625" style="34" bestFit="1" customWidth="1"/>
    <col min="18" max="19" width="11.42578125" style="34"/>
    <col min="20" max="20" width="2.5703125" style="34" customWidth="1"/>
    <col min="21" max="16384" width="11.42578125" style="34"/>
  </cols>
  <sheetData>
    <row r="1" spans="1:25" s="5" customFormat="1" ht="19.899999999999999" customHeight="1">
      <c r="A1" s="1"/>
      <c r="B1" s="1"/>
      <c r="H1" s="54"/>
    </row>
    <row r="2" spans="1:25" s="5" customFormat="1" ht="19.899999999999999" customHeight="1">
      <c r="A2" s="1"/>
      <c r="B2" s="1"/>
      <c r="H2" s="54"/>
    </row>
    <row r="3" spans="1:25" s="5" customFormat="1" ht="19.899999999999999" customHeight="1">
      <c r="A3" s="1"/>
      <c r="B3" s="1"/>
      <c r="H3" s="54"/>
    </row>
    <row r="4" spans="1:25" s="5" customFormat="1" ht="34.9" customHeight="1">
      <c r="B4" s="28" t="s">
        <v>36</v>
      </c>
      <c r="H4" s="54"/>
    </row>
    <row r="5" spans="1:25" s="5" customFormat="1" ht="19.899999999999999" customHeight="1">
      <c r="B5" s="28"/>
      <c r="C5" s="193" t="s">
        <v>2</v>
      </c>
      <c r="D5" s="193"/>
      <c r="E5" s="193"/>
      <c r="F5" s="193"/>
      <c r="G5" s="193"/>
      <c r="H5" s="55"/>
      <c r="I5" s="193" t="s">
        <v>3</v>
      </c>
      <c r="J5" s="193"/>
      <c r="K5" s="193"/>
      <c r="L5" s="193"/>
      <c r="M5" s="193"/>
      <c r="N5" s="193"/>
      <c r="O5" s="193"/>
      <c r="P5" s="193"/>
      <c r="Q5" s="193"/>
      <c r="R5" s="193"/>
      <c r="S5" s="193"/>
      <c r="U5" s="193" t="s">
        <v>69</v>
      </c>
      <c r="V5" s="193"/>
      <c r="W5" s="193"/>
      <c r="X5" s="193"/>
      <c r="Y5" s="193"/>
    </row>
    <row r="6" spans="1:25" s="29" customFormat="1" ht="10.15" customHeight="1">
      <c r="B6" s="28"/>
      <c r="C6" s="30"/>
      <c r="D6" s="30"/>
      <c r="E6" s="30"/>
      <c r="F6" s="30"/>
      <c r="G6" s="30"/>
      <c r="H6" s="56"/>
    </row>
    <row r="7" spans="1:25" s="13" customFormat="1" ht="30" customHeight="1">
      <c r="B7" s="9" t="s">
        <v>47</v>
      </c>
      <c r="C7" s="144">
        <v>42339</v>
      </c>
      <c r="D7" s="144">
        <v>42522</v>
      </c>
      <c r="E7" s="144">
        <v>42705</v>
      </c>
      <c r="F7" s="144">
        <v>42887</v>
      </c>
      <c r="G7" s="144">
        <v>43070</v>
      </c>
      <c r="H7" s="145"/>
      <c r="I7" s="144">
        <v>43101</v>
      </c>
      <c r="J7" s="144">
        <v>43252</v>
      </c>
      <c r="K7" s="144">
        <v>43435</v>
      </c>
      <c r="L7" s="144">
        <v>43617</v>
      </c>
      <c r="M7" s="144" t="s">
        <v>60</v>
      </c>
      <c r="N7" s="144">
        <v>43983</v>
      </c>
      <c r="O7" s="144" t="s">
        <v>63</v>
      </c>
      <c r="P7" s="144">
        <v>44348</v>
      </c>
      <c r="Q7" s="144" t="s">
        <v>65</v>
      </c>
      <c r="R7" s="144">
        <v>44713</v>
      </c>
      <c r="S7" s="144" t="s">
        <v>67</v>
      </c>
      <c r="U7" s="144">
        <v>45078</v>
      </c>
      <c r="V7" s="144" t="s">
        <v>70</v>
      </c>
      <c r="W7" s="144">
        <v>45444</v>
      </c>
      <c r="X7" s="144" t="s">
        <v>72</v>
      </c>
      <c r="Y7" s="144">
        <v>45809</v>
      </c>
    </row>
    <row r="8" spans="1:25" s="31" customFormat="1" ht="15" customHeight="1">
      <c r="B8" s="32"/>
      <c r="C8" s="30"/>
      <c r="D8" s="30"/>
      <c r="E8" s="30"/>
      <c r="F8" s="30"/>
      <c r="G8" s="30"/>
      <c r="H8" s="59"/>
      <c r="I8" s="30"/>
      <c r="J8" s="30"/>
      <c r="K8" s="33"/>
      <c r="L8" s="30"/>
      <c r="M8" s="33"/>
      <c r="N8" s="30"/>
      <c r="O8" s="33"/>
      <c r="P8" s="30"/>
      <c r="Q8" s="33"/>
      <c r="R8" s="30"/>
      <c r="S8" s="33"/>
      <c r="U8" s="30"/>
      <c r="V8" s="30"/>
      <c r="X8" s="30"/>
      <c r="Y8" s="30"/>
    </row>
    <row r="9" spans="1:25" s="13" customFormat="1" ht="24.95" customHeight="1">
      <c r="B9" s="16" t="s">
        <v>5</v>
      </c>
      <c r="C9" s="40">
        <v>2113</v>
      </c>
      <c r="D9" s="49">
        <v>1827</v>
      </c>
      <c r="E9" s="40">
        <v>3617</v>
      </c>
      <c r="F9" s="49">
        <v>2938</v>
      </c>
      <c r="G9" s="43">
        <f>4182765/1000</f>
        <v>4182.7650000000003</v>
      </c>
      <c r="H9" s="60"/>
      <c r="I9" s="127">
        <v>4183</v>
      </c>
      <c r="J9" s="43">
        <v>4168</v>
      </c>
      <c r="K9" s="130">
        <v>3236.5880000000002</v>
      </c>
      <c r="L9" s="111">
        <v>6148</v>
      </c>
      <c r="M9" s="130">
        <v>10084</v>
      </c>
      <c r="N9" s="111">
        <v>14511.522999999999</v>
      </c>
      <c r="O9" s="162">
        <v>12901.851000000001</v>
      </c>
      <c r="P9" s="111">
        <v>14230.347</v>
      </c>
      <c r="Q9" s="162">
        <v>15835.673000000001</v>
      </c>
      <c r="R9" s="111">
        <v>13427.709000000001</v>
      </c>
      <c r="S9" s="162">
        <v>23453.717000000001</v>
      </c>
      <c r="U9" s="111">
        <v>13887.438</v>
      </c>
      <c r="V9" s="130">
        <v>13579.656000000001</v>
      </c>
      <c r="W9" s="111">
        <v>8676</v>
      </c>
      <c r="X9" s="130">
        <f>'[1]CM Arkéa - Bilan'!X9</f>
        <v>10232.249</v>
      </c>
      <c r="Y9" s="111">
        <v>6496</v>
      </c>
    </row>
    <row r="10" spans="1:25" s="13" customFormat="1" ht="24.95" customHeight="1">
      <c r="B10" s="16" t="s">
        <v>6</v>
      </c>
      <c r="C10" s="40">
        <v>14689</v>
      </c>
      <c r="D10" s="49">
        <v>16659</v>
      </c>
      <c r="E10" s="40">
        <v>18370</v>
      </c>
      <c r="F10" s="49">
        <v>22580</v>
      </c>
      <c r="G10" s="43">
        <v>22982</v>
      </c>
      <c r="H10" s="60"/>
      <c r="I10" s="127">
        <v>1121</v>
      </c>
      <c r="J10" s="43">
        <v>1023</v>
      </c>
      <c r="K10" s="130">
        <v>1179.2629999999999</v>
      </c>
      <c r="L10" s="111">
        <v>1420</v>
      </c>
      <c r="M10" s="130">
        <v>1481</v>
      </c>
      <c r="N10" s="111">
        <v>1482.925</v>
      </c>
      <c r="O10" s="162">
        <v>1476.2829999999999</v>
      </c>
      <c r="P10" s="111">
        <v>1441.24</v>
      </c>
      <c r="Q10" s="162">
        <v>1515.229</v>
      </c>
      <c r="R10" s="111">
        <v>1945.6610000000001</v>
      </c>
      <c r="S10" s="162">
        <v>2175.3310000000001</v>
      </c>
      <c r="U10" s="111">
        <v>2025.846</v>
      </c>
      <c r="V10" s="130">
        <v>1875.7249999999999</v>
      </c>
      <c r="W10" s="111">
        <v>1962</v>
      </c>
      <c r="X10" s="130">
        <f>'[1]CM Arkéa - Bilan'!X10</f>
        <v>1896.5889999999999</v>
      </c>
      <c r="Y10" s="111">
        <v>2004</v>
      </c>
    </row>
    <row r="11" spans="1:25" s="13" customFormat="1" ht="24.95" customHeight="1">
      <c r="B11" s="15" t="s">
        <v>7</v>
      </c>
      <c r="C11" s="41">
        <v>814</v>
      </c>
      <c r="D11" s="50">
        <v>928</v>
      </c>
      <c r="E11" s="41">
        <v>833</v>
      </c>
      <c r="F11" s="50">
        <v>702</v>
      </c>
      <c r="G11" s="44">
        <v>685.923</v>
      </c>
      <c r="H11" s="60"/>
      <c r="I11" s="128">
        <v>686</v>
      </c>
      <c r="J11" s="44">
        <v>664</v>
      </c>
      <c r="K11" s="131">
        <v>692.56399999999996</v>
      </c>
      <c r="L11" s="112">
        <v>1053</v>
      </c>
      <c r="M11" s="131">
        <v>1082</v>
      </c>
      <c r="N11" s="112">
        <v>1111.175</v>
      </c>
      <c r="O11" s="163">
        <v>1128.825</v>
      </c>
      <c r="P11" s="112">
        <v>907.95</v>
      </c>
      <c r="Q11" s="163">
        <v>941.73299999999995</v>
      </c>
      <c r="R11" s="112">
        <v>3446.873</v>
      </c>
      <c r="S11" s="163">
        <v>5365.0230000000001</v>
      </c>
      <c r="U11" s="112">
        <v>5021.7</v>
      </c>
      <c r="V11" s="130">
        <v>3945.2779999999998</v>
      </c>
      <c r="W11" s="112">
        <v>4077</v>
      </c>
      <c r="X11" s="130">
        <f>'[1]CM Arkéa - Bilan'!X11</f>
        <v>3292.6419999999998</v>
      </c>
      <c r="Y11" s="112">
        <v>3107</v>
      </c>
    </row>
    <row r="12" spans="1:25" s="13" customFormat="1" ht="24.95" customHeight="1">
      <c r="B12" s="147" t="s">
        <v>23</v>
      </c>
      <c r="C12" s="40" t="s">
        <v>1</v>
      </c>
      <c r="D12" s="49" t="s">
        <v>1</v>
      </c>
      <c r="E12" s="40" t="s">
        <v>1</v>
      </c>
      <c r="F12" s="49" t="s">
        <v>1</v>
      </c>
      <c r="G12" s="43" t="s">
        <v>1</v>
      </c>
      <c r="H12" s="60"/>
      <c r="I12" s="127">
        <v>10608</v>
      </c>
      <c r="J12" s="43">
        <v>10013</v>
      </c>
      <c r="K12" s="130">
        <v>11323.695</v>
      </c>
      <c r="L12" s="111">
        <v>9742</v>
      </c>
      <c r="M12" s="130">
        <v>9655</v>
      </c>
      <c r="N12" s="111">
        <v>13038.887000000001</v>
      </c>
      <c r="O12" s="162">
        <v>11922.563</v>
      </c>
      <c r="P12" s="111">
        <v>10467.884</v>
      </c>
      <c r="Q12" s="162">
        <v>9438.2860000000001</v>
      </c>
      <c r="R12" s="111">
        <v>9117.3649999999998</v>
      </c>
      <c r="S12" s="162">
        <v>7322.7190000000001</v>
      </c>
      <c r="U12" s="111">
        <v>8333.6990000000005</v>
      </c>
      <c r="V12" s="130">
        <v>8928.7929999999997</v>
      </c>
      <c r="W12" s="111">
        <v>10449</v>
      </c>
      <c r="X12" s="130">
        <f>'[1]CM Arkéa - Bilan'!X12</f>
        <v>11647.947</v>
      </c>
      <c r="Y12" s="111">
        <v>13386</v>
      </c>
    </row>
    <row r="13" spans="1:25" s="13" customFormat="1" ht="24.95" customHeight="1">
      <c r="B13" s="15" t="s">
        <v>50</v>
      </c>
      <c r="C13" s="41">
        <v>36268</v>
      </c>
      <c r="D13" s="50">
        <v>39823</v>
      </c>
      <c r="E13" s="41">
        <v>38973</v>
      </c>
      <c r="F13" s="50">
        <v>38996</v>
      </c>
      <c r="G13" s="44">
        <v>38031</v>
      </c>
      <c r="H13" s="60"/>
      <c r="I13" s="128" t="s">
        <v>1</v>
      </c>
      <c r="J13" s="44" t="s">
        <v>1</v>
      </c>
      <c r="K13" s="131" t="s">
        <v>1</v>
      </c>
      <c r="L13" s="112" t="s">
        <v>1</v>
      </c>
      <c r="M13" s="131" t="s">
        <v>1</v>
      </c>
      <c r="N13" s="112">
        <v>0</v>
      </c>
      <c r="O13" s="131" t="s">
        <v>1</v>
      </c>
      <c r="P13" s="112" t="s">
        <v>1</v>
      </c>
      <c r="Q13" s="131" t="s">
        <v>1</v>
      </c>
      <c r="R13" s="112">
        <v>0</v>
      </c>
      <c r="S13" s="131" t="s">
        <v>1</v>
      </c>
      <c r="U13" s="112">
        <v>0</v>
      </c>
      <c r="V13" s="131" t="s">
        <v>1</v>
      </c>
      <c r="W13" s="112" t="s">
        <v>1</v>
      </c>
      <c r="X13" s="131" t="str">
        <f>'[1]CM Arkéa - Bilan'!X13</f>
        <v>-</v>
      </c>
      <c r="Y13" s="112" t="s">
        <v>1</v>
      </c>
    </row>
    <row r="14" spans="1:25" s="13" customFormat="1" ht="24.95" customHeight="1">
      <c r="B14" s="16" t="s">
        <v>8</v>
      </c>
      <c r="C14" s="40" t="s">
        <v>1</v>
      </c>
      <c r="D14" s="49" t="s">
        <v>1</v>
      </c>
      <c r="E14" s="40" t="s">
        <v>1</v>
      </c>
      <c r="F14" s="49" t="s">
        <v>1</v>
      </c>
      <c r="G14" s="43" t="s">
        <v>1</v>
      </c>
      <c r="H14" s="60"/>
      <c r="I14" s="127">
        <v>158</v>
      </c>
      <c r="J14" s="43">
        <v>149</v>
      </c>
      <c r="K14" s="130">
        <v>163.94900000000001</v>
      </c>
      <c r="L14" s="111">
        <v>440</v>
      </c>
      <c r="M14" s="130">
        <v>635</v>
      </c>
      <c r="N14" s="111">
        <v>662.01599999999996</v>
      </c>
      <c r="O14" s="162">
        <v>640.78700000000003</v>
      </c>
      <c r="P14" s="111">
        <v>636.89599999999996</v>
      </c>
      <c r="Q14" s="162">
        <v>632.29</v>
      </c>
      <c r="R14" s="111">
        <v>591.78300000000002</v>
      </c>
      <c r="S14" s="162">
        <v>569.48900000000003</v>
      </c>
      <c r="U14" s="111">
        <v>591.34699999999998</v>
      </c>
      <c r="V14" s="130">
        <v>671.10699999999997</v>
      </c>
      <c r="W14" s="111">
        <v>986</v>
      </c>
      <c r="X14" s="130">
        <f>'[1]CM Arkéa - Bilan'!X14</f>
        <v>1548.4580000000001</v>
      </c>
      <c r="Y14" s="111">
        <v>1587</v>
      </c>
    </row>
    <row r="15" spans="1:25" s="13" customFormat="1" ht="24.95" customHeight="1">
      <c r="B15" s="17" t="s">
        <v>10</v>
      </c>
      <c r="C15" s="41">
        <v>7040</v>
      </c>
      <c r="D15" s="50">
        <v>8547</v>
      </c>
      <c r="E15" s="41">
        <v>6944</v>
      </c>
      <c r="F15" s="50">
        <v>7346</v>
      </c>
      <c r="G15" s="44">
        <v>7259</v>
      </c>
      <c r="H15" s="60"/>
      <c r="I15" s="128">
        <v>7600</v>
      </c>
      <c r="J15" s="44">
        <v>8379</v>
      </c>
      <c r="K15" s="131">
        <v>8986.8330000000005</v>
      </c>
      <c r="L15" s="111">
        <v>9721</v>
      </c>
      <c r="M15" s="131">
        <v>9785</v>
      </c>
      <c r="N15" s="111">
        <v>11755.823</v>
      </c>
      <c r="O15" s="163">
        <v>14791.361999999999</v>
      </c>
      <c r="P15" s="111">
        <v>16374.646000000001</v>
      </c>
      <c r="Q15" s="163">
        <v>15207.861999999999</v>
      </c>
      <c r="R15" s="111">
        <v>15539.88</v>
      </c>
      <c r="S15" s="163">
        <v>12044.954</v>
      </c>
      <c r="U15" s="111">
        <v>12638.044</v>
      </c>
      <c r="V15" s="131">
        <v>14030.826999999999</v>
      </c>
      <c r="W15" s="111">
        <v>14901</v>
      </c>
      <c r="X15" s="131">
        <f>'[1]CM Arkéa - Bilan'!X15</f>
        <v>14201.191000000001</v>
      </c>
      <c r="Y15" s="111">
        <v>14840</v>
      </c>
    </row>
    <row r="16" spans="1:25" s="13" customFormat="1" ht="24.95" customHeight="1">
      <c r="B16" s="16" t="s">
        <v>9</v>
      </c>
      <c r="C16" s="40">
        <v>44368</v>
      </c>
      <c r="D16" s="49">
        <v>46005</v>
      </c>
      <c r="E16" s="40">
        <v>46656</v>
      </c>
      <c r="F16" s="49">
        <v>48175</v>
      </c>
      <c r="G16" s="43">
        <v>50483</v>
      </c>
      <c r="H16" s="60"/>
      <c r="I16" s="127">
        <v>50136</v>
      </c>
      <c r="J16" s="43">
        <v>52825</v>
      </c>
      <c r="K16" s="130">
        <v>55574.536</v>
      </c>
      <c r="L16" s="70">
        <v>59053</v>
      </c>
      <c r="M16" s="130">
        <v>62445</v>
      </c>
      <c r="N16" s="70">
        <v>64502.065000000002</v>
      </c>
      <c r="O16" s="162">
        <v>67250.857000000004</v>
      </c>
      <c r="P16" s="70">
        <v>69616.737999999998</v>
      </c>
      <c r="Q16" s="162">
        <v>73250.953999999998</v>
      </c>
      <c r="R16" s="70">
        <v>77455.86</v>
      </c>
      <c r="S16" s="162">
        <v>81178.096000000005</v>
      </c>
      <c r="U16" s="70">
        <v>83953.995999999999</v>
      </c>
      <c r="V16" s="130">
        <v>86908.941000000006</v>
      </c>
      <c r="W16" s="70">
        <v>88598</v>
      </c>
      <c r="X16" s="130">
        <f>'[1]CM Arkéa - Bilan'!X16</f>
        <v>90382.061000000002</v>
      </c>
      <c r="Y16" s="70">
        <v>92006</v>
      </c>
    </row>
    <row r="17" spans="2:25" s="13" customFormat="1" ht="24.95" customHeight="1">
      <c r="B17" s="72" t="s">
        <v>12</v>
      </c>
      <c r="C17" s="70">
        <v>327</v>
      </c>
      <c r="D17" s="71">
        <v>449</v>
      </c>
      <c r="E17" s="70">
        <v>363</v>
      </c>
      <c r="F17" s="71">
        <v>22</v>
      </c>
      <c r="G17" s="74">
        <v>265</v>
      </c>
      <c r="H17" s="60"/>
      <c r="I17" s="127">
        <v>265</v>
      </c>
      <c r="J17" s="74">
        <v>262</v>
      </c>
      <c r="K17" s="132">
        <v>299</v>
      </c>
      <c r="L17" s="113">
        <v>774</v>
      </c>
      <c r="M17" s="132">
        <v>791</v>
      </c>
      <c r="N17" s="113">
        <v>928.26300000000003</v>
      </c>
      <c r="O17" s="164">
        <v>933.84900000000005</v>
      </c>
      <c r="P17" s="113">
        <v>709.06899999999996</v>
      </c>
      <c r="Q17" s="164">
        <v>621.69799999999998</v>
      </c>
      <c r="R17" s="113">
        <v>1485.848</v>
      </c>
      <c r="S17" s="164">
        <v>-4501.9960000000001</v>
      </c>
      <c r="U17" s="113">
        <v>-4242.2520000000004</v>
      </c>
      <c r="V17" s="132">
        <v>-2647.1680000000001</v>
      </c>
      <c r="W17" s="113">
        <v>-3204</v>
      </c>
      <c r="X17" s="132">
        <f>'[1]CM Arkéa - Bilan'!X17</f>
        <v>-1760.9739999999999</v>
      </c>
      <c r="Y17" s="113">
        <v>-1930</v>
      </c>
    </row>
    <row r="18" spans="2:25" s="13" customFormat="1" ht="24.95" customHeight="1">
      <c r="B18" s="51" t="s">
        <v>11</v>
      </c>
      <c r="C18" s="40">
        <v>152</v>
      </c>
      <c r="D18" s="64">
        <v>142</v>
      </c>
      <c r="E18" s="69">
        <v>117</v>
      </c>
      <c r="F18" s="64">
        <v>106</v>
      </c>
      <c r="G18" s="43">
        <v>101</v>
      </c>
      <c r="H18" s="60"/>
      <c r="I18" s="127" t="s">
        <v>1</v>
      </c>
      <c r="J18" s="43" t="s">
        <v>1</v>
      </c>
      <c r="K18" s="130" t="s">
        <v>1</v>
      </c>
      <c r="L18" s="111" t="s">
        <v>1</v>
      </c>
      <c r="M18" s="130" t="s">
        <v>1</v>
      </c>
      <c r="N18" s="111">
        <v>0</v>
      </c>
      <c r="O18" s="130" t="s">
        <v>1</v>
      </c>
      <c r="P18" s="111" t="s">
        <v>1</v>
      </c>
      <c r="Q18" s="130" t="s">
        <v>1</v>
      </c>
      <c r="R18" s="111">
        <v>0</v>
      </c>
      <c r="S18" s="130" t="s">
        <v>1</v>
      </c>
      <c r="U18" s="111">
        <v>0</v>
      </c>
      <c r="V18" s="130" t="s">
        <v>1</v>
      </c>
      <c r="W18" s="111" t="s">
        <v>1</v>
      </c>
      <c r="X18" s="130" t="str">
        <f>'[1]CM Arkéa - Bilan'!X18</f>
        <v>-</v>
      </c>
      <c r="Y18" s="111" t="s">
        <v>1</v>
      </c>
    </row>
    <row r="19" spans="2:25" s="13" customFormat="1" ht="24.95" customHeight="1">
      <c r="B19" s="72" t="s">
        <v>13</v>
      </c>
      <c r="C19" s="70" t="s">
        <v>1</v>
      </c>
      <c r="D19" s="49" t="s">
        <v>1</v>
      </c>
      <c r="E19" s="40" t="s">
        <v>1</v>
      </c>
      <c r="F19" s="49" t="s">
        <v>1</v>
      </c>
      <c r="G19" s="74" t="s">
        <v>1</v>
      </c>
      <c r="H19" s="60"/>
      <c r="I19" s="129">
        <v>50600</v>
      </c>
      <c r="J19" s="74">
        <v>52396</v>
      </c>
      <c r="K19" s="132">
        <v>50190</v>
      </c>
      <c r="L19" s="113">
        <v>55947</v>
      </c>
      <c r="M19" s="132">
        <v>58172</v>
      </c>
      <c r="N19" s="113">
        <v>53372.12</v>
      </c>
      <c r="O19" s="164">
        <v>55304.241999999998</v>
      </c>
      <c r="P19" s="113">
        <v>57430.392999999996</v>
      </c>
      <c r="Q19" s="164">
        <v>58775.76</v>
      </c>
      <c r="R19" s="113">
        <v>55847.425000000003</v>
      </c>
      <c r="S19" s="164">
        <v>56731.46</v>
      </c>
      <c r="U19" s="113">
        <v>59080.534</v>
      </c>
      <c r="V19" s="132">
        <v>60425.249000000003</v>
      </c>
      <c r="W19" s="113">
        <v>60900</v>
      </c>
      <c r="X19" s="132">
        <f>'[1]CM Arkéa - Bilan'!X19</f>
        <v>63416.974000000002</v>
      </c>
      <c r="Y19" s="113">
        <v>64400</v>
      </c>
    </row>
    <row r="20" spans="2:25" s="13" customFormat="1" ht="24.95" customHeight="1">
      <c r="B20" s="148" t="s">
        <v>51</v>
      </c>
      <c r="C20" s="70">
        <v>2740</v>
      </c>
      <c r="D20" s="71">
        <v>3007</v>
      </c>
      <c r="E20" s="70">
        <v>2783</v>
      </c>
      <c r="F20" s="71">
        <v>2452</v>
      </c>
      <c r="G20" s="74">
        <v>2625</v>
      </c>
      <c r="H20" s="101"/>
      <c r="I20" s="129">
        <v>1569</v>
      </c>
      <c r="J20" s="74">
        <v>1601</v>
      </c>
      <c r="K20" s="132">
        <v>1887</v>
      </c>
      <c r="L20" s="113">
        <v>1643</v>
      </c>
      <c r="M20" s="132">
        <v>1500</v>
      </c>
      <c r="N20" s="113">
        <f>137.013+160.674+1339.464+92.982+156.797</f>
        <v>1886.9299999999998</v>
      </c>
      <c r="O20" s="164">
        <f>174.3+145.059+951.587+94.958+167.698</f>
        <v>1533.6020000000001</v>
      </c>
      <c r="P20" s="113">
        <v>1564.483597274148</v>
      </c>
      <c r="Q20" s="164">
        <v>1508.3338842035259</v>
      </c>
      <c r="R20" s="113">
        <v>2043.610401784865</v>
      </c>
      <c r="S20" s="164">
        <v>3300.7236974141911</v>
      </c>
      <c r="U20" s="113">
        <f>(151248+187642+177274+866235+3430+218871)/1000</f>
        <v>1604.7</v>
      </c>
      <c r="V20" s="132">
        <f>(217.365+206.54+173.674+1488.073+238.886)</f>
        <v>2324.538</v>
      </c>
      <c r="W20" s="113">
        <f>(193+243+176+1475+243)</f>
        <v>2330</v>
      </c>
      <c r="X20" s="132">
        <f>'[1]CM Arkéa - Bilan'!X20</f>
        <v>1826.43</v>
      </c>
      <c r="Y20" s="113">
        <v>2117</v>
      </c>
    </row>
    <row r="21" spans="2:25" s="13" customFormat="1" ht="24.95" customHeight="1">
      <c r="B21" s="148" t="s">
        <v>52</v>
      </c>
      <c r="C21" s="70">
        <v>1153</v>
      </c>
      <c r="D21" s="71">
        <v>1223</v>
      </c>
      <c r="E21" s="70">
        <v>1196</v>
      </c>
      <c r="F21" s="71">
        <v>1207</v>
      </c>
      <c r="G21" s="74">
        <v>1196</v>
      </c>
      <c r="H21" s="60"/>
      <c r="I21" s="129">
        <v>850</v>
      </c>
      <c r="J21" s="74">
        <v>849</v>
      </c>
      <c r="K21" s="132">
        <v>848</v>
      </c>
      <c r="L21" s="113">
        <v>932</v>
      </c>
      <c r="M21" s="132">
        <v>945</v>
      </c>
      <c r="N21" s="113">
        <f>131.686+330.07+458.689</f>
        <v>920.44499999999994</v>
      </c>
      <c r="O21" s="164">
        <f>127.487+336.643+477.403</f>
        <v>941.53300000000002</v>
      </c>
      <c r="P21" s="113">
        <v>965.71299999999997</v>
      </c>
      <c r="Q21" s="164">
        <v>987.09</v>
      </c>
      <c r="R21" s="113">
        <v>976.779</v>
      </c>
      <c r="S21" s="164">
        <v>1009.2809999999999</v>
      </c>
      <c r="U21" s="113">
        <f>(137905+339482+577168)/1000</f>
        <v>1054.5550000000001</v>
      </c>
      <c r="V21" s="132">
        <f>(145.933+342.235+620.315)</f>
        <v>1108.4830000000002</v>
      </c>
      <c r="W21" s="113">
        <f>(149+389+677)</f>
        <v>1215</v>
      </c>
      <c r="X21" s="132">
        <f>'[1]CM Arkéa - Bilan'!X21</f>
        <v>1283.1300000000001</v>
      </c>
      <c r="Y21" s="113">
        <v>1340</v>
      </c>
    </row>
    <row r="22" spans="2:25" s="13" customFormat="1" ht="24.95" customHeight="1">
      <c r="B22" s="17" t="s">
        <v>14</v>
      </c>
      <c r="C22" s="41">
        <v>449</v>
      </c>
      <c r="D22" s="50">
        <v>542</v>
      </c>
      <c r="E22" s="41">
        <v>542.24599999999998</v>
      </c>
      <c r="F22" s="50">
        <v>542</v>
      </c>
      <c r="G22" s="44">
        <v>572.68399999999997</v>
      </c>
      <c r="H22" s="60"/>
      <c r="I22" s="128">
        <v>573</v>
      </c>
      <c r="J22" s="44">
        <v>571</v>
      </c>
      <c r="K22" s="131">
        <v>538.46100000000001</v>
      </c>
      <c r="L22" s="112">
        <v>538</v>
      </c>
      <c r="M22" s="131">
        <v>567</v>
      </c>
      <c r="N22" s="112">
        <v>566.77599999999995</v>
      </c>
      <c r="O22" s="163">
        <v>550.01700000000005</v>
      </c>
      <c r="P22" s="112">
        <v>569.94399999999996</v>
      </c>
      <c r="Q22" s="163">
        <v>566.53300000000002</v>
      </c>
      <c r="R22" s="112">
        <v>518.32100000000003</v>
      </c>
      <c r="S22" s="163">
        <v>484.61</v>
      </c>
      <c r="U22" s="112">
        <v>484.61</v>
      </c>
      <c r="V22" s="131">
        <v>473.64100000000002</v>
      </c>
      <c r="W22" s="112">
        <v>474</v>
      </c>
      <c r="X22" s="131">
        <f>'[1]CM Arkéa - Bilan'!X22</f>
        <v>462.64100000000002</v>
      </c>
      <c r="Y22" s="112">
        <v>478</v>
      </c>
    </row>
    <row r="23" spans="2:25" s="13" customFormat="1" ht="24.95" customHeight="1">
      <c r="B23" s="46" t="s">
        <v>4</v>
      </c>
      <c r="C23" s="42">
        <f>110111.801</f>
        <v>110111.80100000001</v>
      </c>
      <c r="D23" s="42">
        <v>119152.399</v>
      </c>
      <c r="E23" s="42">
        <v>120392.92600000001</v>
      </c>
      <c r="F23" s="42">
        <v>125065.912</v>
      </c>
      <c r="G23" s="45">
        <v>128384.77899999999</v>
      </c>
      <c r="H23" s="61"/>
      <c r="I23" s="114">
        <v>128346.56</v>
      </c>
      <c r="J23" s="45">
        <v>132900</v>
      </c>
      <c r="K23" s="47">
        <v>134920.302</v>
      </c>
      <c r="L23" s="114">
        <v>147409.266</v>
      </c>
      <c r="M23" s="47">
        <v>157142</v>
      </c>
      <c r="N23" s="114">
        <v>164738.948</v>
      </c>
      <c r="O23" s="165">
        <f>SUM(O9:O22)</f>
        <v>169375.77100000001</v>
      </c>
      <c r="P23" s="47">
        <f>SUM(P9:P22)</f>
        <v>174915.30359727412</v>
      </c>
      <c r="Q23" s="165">
        <f>SUM(Q9:Q22)</f>
        <v>179281.44188420352</v>
      </c>
      <c r="R23" s="47">
        <f>SUM(R9:R22)</f>
        <v>182397.11440178484</v>
      </c>
      <c r="S23" s="165">
        <f>SUM(S9:S22)</f>
        <v>189133.40769741416</v>
      </c>
      <c r="U23" s="47">
        <f>SUM(U9:U22)</f>
        <v>184434.217</v>
      </c>
      <c r="V23" s="47">
        <f>SUM(V9:V22)</f>
        <v>191625.07</v>
      </c>
      <c r="W23" s="47">
        <v>191362</v>
      </c>
      <c r="X23" s="47">
        <f>'[1]CM Arkéa - Bilan'!X23</f>
        <v>198429.33799999999</v>
      </c>
      <c r="Y23" s="47">
        <f>+SUM(Y9:Y22)</f>
        <v>199831</v>
      </c>
    </row>
    <row r="24" spans="2:25" s="37" customFormat="1" ht="19.899999999999999" customHeight="1">
      <c r="B24" s="38"/>
      <c r="C24" s="39"/>
      <c r="D24" s="39"/>
      <c r="E24" s="39"/>
      <c r="F24" s="39"/>
      <c r="G24" s="39"/>
      <c r="H24" s="62"/>
      <c r="I24" s="39"/>
      <c r="J24" s="39"/>
      <c r="K24" s="39"/>
      <c r="L24" s="39"/>
      <c r="M24" s="39"/>
      <c r="O24" s="166"/>
      <c r="Q24" s="166"/>
      <c r="S24" s="166"/>
      <c r="V24" s="39"/>
      <c r="X24" s="39"/>
    </row>
    <row r="25" spans="2:25" s="13" customFormat="1" ht="30" customHeight="1">
      <c r="B25" s="9" t="s">
        <v>48</v>
      </c>
      <c r="C25" s="144">
        <v>42339</v>
      </c>
      <c r="D25" s="144">
        <v>42522</v>
      </c>
      <c r="E25" s="144">
        <v>42705</v>
      </c>
      <c r="F25" s="144">
        <v>42887</v>
      </c>
      <c r="G25" s="144">
        <v>43070</v>
      </c>
      <c r="H25" s="146"/>
      <c r="I25" s="144">
        <v>43101</v>
      </c>
      <c r="J25" s="144">
        <v>43252</v>
      </c>
      <c r="K25" s="144">
        <v>43435</v>
      </c>
      <c r="L25" s="144">
        <v>43617</v>
      </c>
      <c r="M25" s="144" t="s">
        <v>60</v>
      </c>
      <c r="N25" s="144">
        <v>43983</v>
      </c>
      <c r="O25" s="144" t="s">
        <v>63</v>
      </c>
      <c r="P25" s="144">
        <v>44348</v>
      </c>
      <c r="Q25" s="144" t="s">
        <v>65</v>
      </c>
      <c r="R25" s="144">
        <f>+R7</f>
        <v>44713</v>
      </c>
      <c r="S25" s="144" t="s">
        <v>67</v>
      </c>
      <c r="U25" s="144">
        <v>45078</v>
      </c>
      <c r="V25" s="144" t="s">
        <v>70</v>
      </c>
      <c r="W25" s="144">
        <v>45444</v>
      </c>
      <c r="X25" s="144" t="s">
        <v>72</v>
      </c>
      <c r="Y25" s="144">
        <f>Y7</f>
        <v>45809</v>
      </c>
    </row>
    <row r="26" spans="2:25" s="52" customFormat="1" ht="15" customHeight="1">
      <c r="B26" s="67"/>
      <c r="C26" s="68"/>
      <c r="D26" s="68"/>
      <c r="E26" s="68"/>
      <c r="F26" s="68"/>
      <c r="G26" s="68"/>
      <c r="H26" s="63"/>
      <c r="I26" s="68"/>
      <c r="J26" s="68"/>
      <c r="K26" s="68"/>
      <c r="L26" s="68"/>
      <c r="M26" s="68"/>
      <c r="O26" s="167"/>
      <c r="Q26" s="167"/>
      <c r="S26" s="167"/>
      <c r="V26" s="68"/>
      <c r="X26" s="68"/>
    </row>
    <row r="27" spans="2:25" s="13" customFormat="1" ht="24.95" customHeight="1">
      <c r="B27" s="48" t="s">
        <v>15</v>
      </c>
      <c r="C27" s="40">
        <v>570</v>
      </c>
      <c r="D27" s="49">
        <v>774</v>
      </c>
      <c r="E27" s="40">
        <v>615</v>
      </c>
      <c r="F27" s="49">
        <v>514</v>
      </c>
      <c r="G27" s="40">
        <v>610</v>
      </c>
      <c r="H27" s="64"/>
      <c r="I27" s="127">
        <v>559</v>
      </c>
      <c r="J27" s="43">
        <v>560</v>
      </c>
      <c r="K27" s="57">
        <v>811</v>
      </c>
      <c r="L27" s="111">
        <v>1007</v>
      </c>
      <c r="M27" s="57">
        <v>1173</v>
      </c>
      <c r="N27" s="111">
        <v>1185.1410000000001</v>
      </c>
      <c r="O27" s="168">
        <v>1362.942</v>
      </c>
      <c r="P27" s="111">
        <v>1331.645</v>
      </c>
      <c r="Q27" s="168">
        <v>1345.0239999999999</v>
      </c>
      <c r="R27" s="111">
        <v>1838.037</v>
      </c>
      <c r="S27" s="168">
        <v>2049.9470000000001</v>
      </c>
      <c r="U27" s="111">
        <v>2675.5880000000002</v>
      </c>
      <c r="V27" s="132">
        <v>2737.0459999999998</v>
      </c>
      <c r="W27" s="111">
        <v>2880</v>
      </c>
      <c r="X27" s="132">
        <f>'[1]CM Arkéa - Bilan'!X27</f>
        <v>2768.7559999999999</v>
      </c>
      <c r="Y27" s="111">
        <v>2833</v>
      </c>
    </row>
    <row r="28" spans="2:25" s="13" customFormat="1" ht="24.95" customHeight="1">
      <c r="B28" s="16" t="s">
        <v>7</v>
      </c>
      <c r="C28" s="40">
        <v>504</v>
      </c>
      <c r="D28" s="49">
        <v>649</v>
      </c>
      <c r="E28" s="40">
        <v>512</v>
      </c>
      <c r="F28" s="49">
        <v>428</v>
      </c>
      <c r="G28" s="40">
        <v>399</v>
      </c>
      <c r="H28" s="64"/>
      <c r="I28" s="127">
        <v>399</v>
      </c>
      <c r="J28" s="43">
        <v>393</v>
      </c>
      <c r="K28" s="57">
        <v>428</v>
      </c>
      <c r="L28" s="111">
        <v>972</v>
      </c>
      <c r="M28" s="57">
        <v>1044</v>
      </c>
      <c r="N28" s="111">
        <v>1185.7280000000001</v>
      </c>
      <c r="O28" s="168">
        <v>1208.376</v>
      </c>
      <c r="P28" s="111">
        <v>976.89200000000005</v>
      </c>
      <c r="Q28" s="168">
        <v>956.29100000000005</v>
      </c>
      <c r="R28" s="111">
        <v>2911.806</v>
      </c>
      <c r="S28" s="168">
        <v>4525.3779999999997</v>
      </c>
      <c r="U28" s="111">
        <v>4141.6130000000003</v>
      </c>
      <c r="V28" s="57">
        <v>3479.9490000000001</v>
      </c>
      <c r="W28" s="111">
        <v>3393</v>
      </c>
      <c r="X28" s="57">
        <f>'[1]CM Arkéa - Bilan'!X28</f>
        <v>3065.5740000000001</v>
      </c>
      <c r="Y28" s="111">
        <v>2612</v>
      </c>
    </row>
    <row r="29" spans="2:25" s="13" customFormat="1" ht="24.95" customHeight="1">
      <c r="B29" s="36" t="s">
        <v>16</v>
      </c>
      <c r="C29" s="70">
        <v>13780</v>
      </c>
      <c r="D29" s="71">
        <v>13635</v>
      </c>
      <c r="E29" s="70">
        <v>12870</v>
      </c>
      <c r="F29" s="71">
        <v>10401</v>
      </c>
      <c r="G29" s="70">
        <v>10788</v>
      </c>
      <c r="H29" s="64"/>
      <c r="I29" s="129">
        <v>10738</v>
      </c>
      <c r="J29" s="74">
        <v>11283</v>
      </c>
      <c r="K29" s="73">
        <v>12771</v>
      </c>
      <c r="L29" s="113">
        <v>14357</v>
      </c>
      <c r="M29" s="73">
        <v>16534</v>
      </c>
      <c r="N29" s="113">
        <v>19129.003000000001</v>
      </c>
      <c r="O29" s="169">
        <v>19348.473999999998</v>
      </c>
      <c r="P29" s="113">
        <v>17169.264999999999</v>
      </c>
      <c r="Q29" s="169">
        <v>16438.84</v>
      </c>
      <c r="R29" s="113">
        <v>15776.492</v>
      </c>
      <c r="S29" s="169">
        <v>19843.531999999999</v>
      </c>
      <c r="U29" s="111">
        <v>23180.880000000001</v>
      </c>
      <c r="V29" s="73">
        <v>24442.681</v>
      </c>
      <c r="W29" s="111">
        <v>25633</v>
      </c>
      <c r="X29" s="73">
        <f>'[1]CM Arkéa - Bilan'!X29</f>
        <v>25943.39</v>
      </c>
      <c r="Y29" s="111">
        <v>26037</v>
      </c>
    </row>
    <row r="30" spans="2:25" s="13" customFormat="1" ht="24.95" customHeight="1">
      <c r="B30" s="16" t="s">
        <v>17</v>
      </c>
      <c r="C30" s="40">
        <v>6456</v>
      </c>
      <c r="D30" s="49">
        <v>6822</v>
      </c>
      <c r="E30" s="40">
        <v>7087</v>
      </c>
      <c r="F30" s="49">
        <v>9645</v>
      </c>
      <c r="G30" s="40">
        <v>9815</v>
      </c>
      <c r="H30" s="64"/>
      <c r="I30" s="127">
        <v>7999</v>
      </c>
      <c r="J30" s="43">
        <v>7255</v>
      </c>
      <c r="K30" s="57">
        <v>7117</v>
      </c>
      <c r="L30" s="111">
        <v>7962</v>
      </c>
      <c r="M30" s="57">
        <v>7768</v>
      </c>
      <c r="N30" s="111">
        <v>13602.485000000001</v>
      </c>
      <c r="O30" s="168">
        <v>12579.834999999999</v>
      </c>
      <c r="P30" s="111">
        <v>15040.388000000001</v>
      </c>
      <c r="Q30" s="168">
        <v>14596.802</v>
      </c>
      <c r="R30" s="111">
        <v>14830.787</v>
      </c>
      <c r="S30" s="168">
        <v>14021.591</v>
      </c>
      <c r="U30" s="111">
        <v>7328.2129999999997</v>
      </c>
      <c r="V30" s="57">
        <v>6747.6270000000004</v>
      </c>
      <c r="W30" s="111">
        <v>4331</v>
      </c>
      <c r="X30" s="57">
        <f>'[1]CM Arkéa - Bilan'!X30</f>
        <v>4309.3609999999999</v>
      </c>
      <c r="Y30" s="111">
        <v>4004</v>
      </c>
    </row>
    <row r="31" spans="2:25" s="13" customFormat="1" ht="24.95" customHeight="1">
      <c r="B31" s="15" t="s">
        <v>53</v>
      </c>
      <c r="C31" s="41">
        <v>41451</v>
      </c>
      <c r="D31" s="50">
        <v>46408</v>
      </c>
      <c r="E31" s="41">
        <v>47173</v>
      </c>
      <c r="F31" s="50">
        <v>48185</v>
      </c>
      <c r="G31" s="41">
        <v>49436</v>
      </c>
      <c r="H31" s="64"/>
      <c r="I31" s="128">
        <v>49380</v>
      </c>
      <c r="J31" s="44">
        <v>51068</v>
      </c>
      <c r="K31" s="58">
        <v>54555</v>
      </c>
      <c r="L31" s="112">
        <v>56698</v>
      </c>
      <c r="M31" s="58">
        <v>61700</v>
      </c>
      <c r="N31" s="112">
        <v>64996.430999999997</v>
      </c>
      <c r="O31" s="170">
        <v>68361.123000000007</v>
      </c>
      <c r="P31" s="112">
        <v>71231.407999999996</v>
      </c>
      <c r="Q31" s="170">
        <v>74571.114000000001</v>
      </c>
      <c r="R31" s="112">
        <v>75591.126999999993</v>
      </c>
      <c r="S31" s="170">
        <v>81064.164000000004</v>
      </c>
      <c r="U31" s="111">
        <v>80952.820999999996</v>
      </c>
      <c r="V31" s="58">
        <v>85080.712</v>
      </c>
      <c r="W31" s="111">
        <v>84282</v>
      </c>
      <c r="X31" s="58">
        <f>'[1]CM Arkéa - Bilan'!X31</f>
        <v>89241.296000000002</v>
      </c>
      <c r="Y31" s="111">
        <v>89273</v>
      </c>
    </row>
    <row r="32" spans="2:25" s="13" customFormat="1" ht="24.95" customHeight="1">
      <c r="B32" s="16" t="s">
        <v>18</v>
      </c>
      <c r="C32" s="40">
        <v>37214</v>
      </c>
      <c r="D32" s="49">
        <v>38793</v>
      </c>
      <c r="E32" s="40">
        <v>39782</v>
      </c>
      <c r="F32" s="49">
        <v>41167</v>
      </c>
      <c r="G32" s="40">
        <v>42808</v>
      </c>
      <c r="H32" s="64"/>
      <c r="I32" s="127">
        <v>48247</v>
      </c>
      <c r="J32" s="43">
        <v>50254</v>
      </c>
      <c r="K32" s="57">
        <v>48033</v>
      </c>
      <c r="L32" s="111">
        <v>53528</v>
      </c>
      <c r="M32" s="57">
        <v>55708</v>
      </c>
      <c r="N32" s="111">
        <v>50922.137999999999</v>
      </c>
      <c r="O32" s="168">
        <v>52736.78</v>
      </c>
      <c r="P32" s="111">
        <v>54780.807999999997</v>
      </c>
      <c r="Q32" s="168">
        <v>56168.824000000001</v>
      </c>
      <c r="R32" s="111">
        <v>53673.659</v>
      </c>
      <c r="S32" s="168">
        <v>56109.540999999997</v>
      </c>
      <c r="U32" s="111">
        <v>51233.62</v>
      </c>
      <c r="V32" s="57">
        <v>52679.432999999997</v>
      </c>
      <c r="W32" s="111">
        <v>53258</v>
      </c>
      <c r="X32" s="57">
        <f>'[1]CM Arkéa - Bilan'!X32</f>
        <v>55000.603999999999</v>
      </c>
      <c r="Y32" s="111">
        <v>56484</v>
      </c>
    </row>
    <row r="33" spans="2:25" s="13" customFormat="1" ht="24.95" customHeight="1">
      <c r="B33" s="17" t="s">
        <v>0</v>
      </c>
      <c r="C33" s="40">
        <v>366</v>
      </c>
      <c r="D33" s="49">
        <v>379</v>
      </c>
      <c r="E33" s="40">
        <v>397</v>
      </c>
      <c r="F33" s="49">
        <v>395</v>
      </c>
      <c r="G33" s="40">
        <v>395</v>
      </c>
      <c r="H33" s="64"/>
      <c r="I33" s="127">
        <v>413</v>
      </c>
      <c r="J33" s="40">
        <v>394</v>
      </c>
      <c r="K33" s="57">
        <v>424</v>
      </c>
      <c r="L33" s="111">
        <v>437</v>
      </c>
      <c r="M33" s="57">
        <v>531</v>
      </c>
      <c r="N33" s="111">
        <v>422.41500000000002</v>
      </c>
      <c r="O33" s="168">
        <v>479.73</v>
      </c>
      <c r="P33" s="111">
        <v>467.45400000000001</v>
      </c>
      <c r="Q33" s="168">
        <v>426.79300000000001</v>
      </c>
      <c r="R33" s="111">
        <v>270.084</v>
      </c>
      <c r="S33" s="168">
        <v>299.19499999999999</v>
      </c>
      <c r="U33" s="111">
        <v>257.30500000000001</v>
      </c>
      <c r="V33" s="57">
        <v>251.41300000000001</v>
      </c>
      <c r="W33" s="111">
        <v>246</v>
      </c>
      <c r="X33" s="57">
        <f>'[1]CM Arkéa - Bilan'!X33</f>
        <v>259.255</v>
      </c>
      <c r="Y33" s="111">
        <v>263</v>
      </c>
    </row>
    <row r="34" spans="2:25" s="13" customFormat="1" ht="24.95" customHeight="1">
      <c r="B34" s="51" t="s">
        <v>19</v>
      </c>
      <c r="C34" s="41">
        <v>382</v>
      </c>
      <c r="D34" s="50">
        <v>896</v>
      </c>
      <c r="E34" s="41">
        <v>890</v>
      </c>
      <c r="F34" s="50">
        <v>1390</v>
      </c>
      <c r="G34" s="41">
        <v>1893</v>
      </c>
      <c r="H34" s="64"/>
      <c r="I34" s="128">
        <v>1892</v>
      </c>
      <c r="J34" s="44">
        <v>2402</v>
      </c>
      <c r="K34" s="58">
        <v>1667</v>
      </c>
      <c r="L34" s="112">
        <v>2508</v>
      </c>
      <c r="M34" s="58">
        <v>2498</v>
      </c>
      <c r="N34" s="112">
        <v>2518.8440000000001</v>
      </c>
      <c r="O34" s="170">
        <v>2547.739</v>
      </c>
      <c r="P34" s="112">
        <v>2477.5189999999998</v>
      </c>
      <c r="Q34" s="170">
        <v>2473.3620000000001</v>
      </c>
      <c r="R34" s="112">
        <v>2258.5129999999999</v>
      </c>
      <c r="S34" s="170">
        <v>2182.0140000000001</v>
      </c>
      <c r="U34" s="111">
        <v>2171.623</v>
      </c>
      <c r="V34" s="58">
        <v>2271.5079999999998</v>
      </c>
      <c r="W34" s="111">
        <v>2734</v>
      </c>
      <c r="X34" s="58">
        <f>'[1]CM Arkéa - Bilan'!X34</f>
        <v>2342.6619999999998</v>
      </c>
      <c r="Y34" s="111">
        <v>2315</v>
      </c>
    </row>
    <row r="35" spans="2:25" s="13" customFormat="1" ht="24.95" customHeight="1">
      <c r="B35" s="16" t="s">
        <v>20</v>
      </c>
      <c r="C35" s="40">
        <v>3612</v>
      </c>
      <c r="D35" s="49">
        <v>4819</v>
      </c>
      <c r="E35" s="40">
        <v>4994</v>
      </c>
      <c r="F35" s="49">
        <v>6575</v>
      </c>
      <c r="G35" s="40">
        <v>5790</v>
      </c>
      <c r="H35" s="64"/>
      <c r="I35" s="127">
        <v>2334</v>
      </c>
      <c r="J35" s="43">
        <v>2637</v>
      </c>
      <c r="K35" s="57">
        <v>2407</v>
      </c>
      <c r="L35" s="111">
        <v>2880</v>
      </c>
      <c r="M35" s="57">
        <v>2834</v>
      </c>
      <c r="N35" s="111">
        <f>223.797+149.638+151.449+2664.617+92.052</f>
        <v>3281.5530000000003</v>
      </c>
      <c r="O35" s="168">
        <f>228.384+135.727+169.681+2393.952+94.028</f>
        <v>3021.7719999999999</v>
      </c>
      <c r="P35" s="111">
        <v>3363.6306132</v>
      </c>
      <c r="Q35" s="168">
        <v>3891.5836131999999</v>
      </c>
      <c r="R35" s="111">
        <v>6746.6409999999996</v>
      </c>
      <c r="S35" s="168">
        <v>311.61561320000004</v>
      </c>
      <c r="U35" s="111">
        <f>(-1903895+42826+274622+4532448+4686)/1000</f>
        <v>2950.6869999999999</v>
      </c>
      <c r="V35" s="57">
        <f>(-1269.242+88.212+302.7+5100.189)</f>
        <v>4221.8590000000004</v>
      </c>
      <c r="W35" s="111">
        <f>(-1396+29+312+5777)</f>
        <v>4722</v>
      </c>
      <c r="X35" s="57">
        <f>'[1]CM Arkéa - Bilan'!X35</f>
        <v>5567.27</v>
      </c>
      <c r="Y35" s="111">
        <v>5833</v>
      </c>
    </row>
    <row r="36" spans="2:25" s="13" customFormat="1" ht="24.95" customHeight="1">
      <c r="B36" s="102" t="s">
        <v>21</v>
      </c>
      <c r="C36" s="76">
        <v>5774</v>
      </c>
      <c r="D36" s="77">
        <v>5975</v>
      </c>
      <c r="E36" s="76">
        <v>6070</v>
      </c>
      <c r="F36" s="77">
        <v>6365</v>
      </c>
      <c r="G36" s="76">
        <v>6449</v>
      </c>
      <c r="H36" s="65"/>
      <c r="I36" s="135">
        <v>6383</v>
      </c>
      <c r="J36" s="78">
        <v>6650</v>
      </c>
      <c r="K36" s="137">
        <v>6704</v>
      </c>
      <c r="L36" s="115">
        <v>7057</v>
      </c>
      <c r="M36" s="137">
        <v>7348</v>
      </c>
      <c r="N36" s="115">
        <v>7491.991</v>
      </c>
      <c r="O36" s="171">
        <v>7725.77</v>
      </c>
      <c r="P36" s="115">
        <v>8072.0992869743395</v>
      </c>
      <c r="Q36" s="171">
        <v>8406.8838140126936</v>
      </c>
      <c r="R36" s="115">
        <v>8494.0825150463716</v>
      </c>
      <c r="S36" s="171">
        <v>8719.2119572983192</v>
      </c>
      <c r="U36" s="114">
        <v>9533.875</v>
      </c>
      <c r="V36" s="137">
        <v>9703.7430000000004</v>
      </c>
      <c r="W36" s="114">
        <v>9873</v>
      </c>
      <c r="X36" s="137">
        <f>'[1]CM Arkéa - Bilan'!X36</f>
        <v>9917.7610999999997</v>
      </c>
      <c r="Y36" s="114">
        <v>10160</v>
      </c>
    </row>
    <row r="37" spans="2:25" s="13" customFormat="1" ht="24.95" customHeight="1">
      <c r="B37" s="103" t="s">
        <v>22</v>
      </c>
      <c r="C37" s="133">
        <v>3</v>
      </c>
      <c r="D37" s="134">
        <v>3</v>
      </c>
      <c r="E37" s="133">
        <v>3</v>
      </c>
      <c r="F37" s="134">
        <v>3</v>
      </c>
      <c r="G37" s="133">
        <v>3</v>
      </c>
      <c r="H37" s="104"/>
      <c r="I37" s="136">
        <v>3</v>
      </c>
      <c r="J37" s="133">
        <v>3</v>
      </c>
      <c r="K37" s="134">
        <v>3</v>
      </c>
      <c r="L37" s="112">
        <v>3</v>
      </c>
      <c r="M37" s="134">
        <v>3</v>
      </c>
      <c r="N37" s="112">
        <v>3.2189999999999999</v>
      </c>
      <c r="O37" s="168">
        <v>3.23</v>
      </c>
      <c r="P37" s="111">
        <v>4.1952275808654402</v>
      </c>
      <c r="Q37" s="168">
        <v>5.9239874718952494</v>
      </c>
      <c r="R37" s="111">
        <v>5.88585531955004</v>
      </c>
      <c r="S37" s="168">
        <v>7.2196573969197901</v>
      </c>
      <c r="U37" s="111">
        <v>7.992</v>
      </c>
      <c r="V37" s="134">
        <v>9.0990000000000002</v>
      </c>
      <c r="W37" s="111">
        <v>11</v>
      </c>
      <c r="X37" s="134">
        <f>'[1]CM Arkéa - Bilan'!X37</f>
        <v>13.414</v>
      </c>
      <c r="Y37" s="111">
        <v>17</v>
      </c>
    </row>
    <row r="38" spans="2:25" s="13" customFormat="1" ht="24.95" customHeight="1">
      <c r="B38" s="46" t="s">
        <v>4</v>
      </c>
      <c r="C38" s="42">
        <f>110111.801</f>
        <v>110111.80100000001</v>
      </c>
      <c r="D38" s="42">
        <v>119152.399</v>
      </c>
      <c r="E38" s="42">
        <v>120392.92600000001</v>
      </c>
      <c r="F38" s="42">
        <v>125065.912</v>
      </c>
      <c r="G38" s="45">
        <v>128384.77899999999</v>
      </c>
      <c r="H38" s="61"/>
      <c r="I38" s="114">
        <v>128346.56</v>
      </c>
      <c r="J38" s="45">
        <v>132900</v>
      </c>
      <c r="K38" s="47">
        <v>134920.302</v>
      </c>
      <c r="L38" s="114">
        <v>147409.266</v>
      </c>
      <c r="M38" s="47">
        <v>157142</v>
      </c>
      <c r="N38" s="114">
        <v>164738.948</v>
      </c>
      <c r="O38" s="165">
        <f>SUM(O27:O37)</f>
        <v>169375.77100000001</v>
      </c>
      <c r="P38" s="47">
        <f>SUM(P27:P37)</f>
        <v>174915.3041277552</v>
      </c>
      <c r="Q38" s="165">
        <f>SUM(Q27:Q37)</f>
        <v>179281.44141468458</v>
      </c>
      <c r="R38" s="47">
        <f>SUM(R27:R37)</f>
        <v>182397.11437036595</v>
      </c>
      <c r="S38" s="165">
        <f>SUM(S27:S37)</f>
        <v>189133.40922789523</v>
      </c>
      <c r="U38" s="47">
        <f>SUM(U27:U37)</f>
        <v>184434.21699999998</v>
      </c>
      <c r="V38" s="47">
        <f>SUM(V27:V37)</f>
        <v>191625.06999999998</v>
      </c>
      <c r="W38" s="47">
        <v>191362</v>
      </c>
      <c r="X38" s="47">
        <f>'[1]CM Arkéa - Bilan'!X38</f>
        <v>198429.3431</v>
      </c>
      <c r="Y38" s="47">
        <f>+SUM(Y27:Y37)</f>
        <v>199831</v>
      </c>
    </row>
    <row r="39" spans="2:25" s="37" customFormat="1" ht="19.899999999999999" customHeight="1">
      <c r="B39" s="99"/>
      <c r="C39" s="100"/>
      <c r="D39" s="100"/>
      <c r="E39" s="100"/>
      <c r="F39" s="100"/>
      <c r="G39" s="100"/>
      <c r="H39" s="62"/>
      <c r="I39" s="100"/>
      <c r="J39" s="100"/>
      <c r="K39" s="100"/>
      <c r="L39" s="100"/>
      <c r="M39" s="100"/>
    </row>
    <row r="40" spans="2:25">
      <c r="H40" s="66"/>
    </row>
    <row r="41" spans="2:25">
      <c r="H41" s="66"/>
    </row>
    <row r="42" spans="2:25">
      <c r="H42" s="66"/>
    </row>
    <row r="43" spans="2:25">
      <c r="H43" s="66"/>
    </row>
    <row r="47" spans="2:25">
      <c r="E47" s="35"/>
    </row>
    <row r="48" spans="2:25">
      <c r="E48" s="35"/>
    </row>
    <row r="49" spans="5:5">
      <c r="E49" s="14"/>
    </row>
    <row r="50" spans="5:5">
      <c r="E50" s="35"/>
    </row>
    <row r="51" spans="5:5">
      <c r="E51" s="35"/>
    </row>
    <row r="52" spans="5:5">
      <c r="E52" s="35"/>
    </row>
  </sheetData>
  <mergeCells count="3">
    <mergeCell ref="C5:G5"/>
    <mergeCell ref="I5:S5"/>
    <mergeCell ref="U5:Y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82"/>
  <sheetViews>
    <sheetView showGridLines="0" topLeftCell="B7" zoomScaleNormal="100" workbookViewId="0">
      <selection activeCell="X6" sqref="X6"/>
    </sheetView>
  </sheetViews>
  <sheetFormatPr baseColWidth="10" defaultColWidth="12.5703125" defaultRowHeight="12.75" customHeight="1" zeroHeight="1"/>
  <cols>
    <col min="1" max="1" width="2.7109375" style="5" customWidth="1"/>
    <col min="2" max="2" width="51.140625" style="5" customWidth="1"/>
    <col min="3" max="9" width="8.7109375" style="5" customWidth="1"/>
    <col min="10" max="17" width="9" style="5" customWidth="1"/>
    <col min="18" max="18" width="8.85546875" style="5" customWidth="1"/>
    <col min="19" max="22" width="9.140625" style="5" customWidth="1"/>
    <col min="23" max="16384" width="12.5703125" style="5"/>
  </cols>
  <sheetData>
    <row r="1" spans="1:22" ht="19.899999999999999" customHeight="1">
      <c r="A1" s="1"/>
      <c r="B1" s="1"/>
      <c r="C1" s="1"/>
    </row>
    <row r="2" spans="1:22" ht="19.899999999999999" customHeight="1">
      <c r="A2" s="1"/>
      <c r="B2" s="1"/>
      <c r="C2" s="1"/>
    </row>
    <row r="3" spans="1:22" ht="19.899999999999999" customHeight="1">
      <c r="A3" s="1"/>
      <c r="B3" s="1"/>
      <c r="C3" s="1"/>
    </row>
    <row r="4" spans="1:22" ht="35.1" customHeight="1">
      <c r="B4" s="194" t="s">
        <v>54</v>
      </c>
      <c r="C4" s="194"/>
      <c r="D4" s="195"/>
    </row>
    <row r="5" spans="1:22" ht="30" customHeight="1">
      <c r="B5" s="9" t="s">
        <v>46</v>
      </c>
      <c r="C5" s="144">
        <v>42339</v>
      </c>
      <c r="D5" s="144">
        <v>42522</v>
      </c>
      <c r="E5" s="144">
        <v>42705</v>
      </c>
      <c r="F5" s="144">
        <v>42887</v>
      </c>
      <c r="G5" s="144">
        <v>43070</v>
      </c>
      <c r="H5" s="144">
        <v>43252</v>
      </c>
      <c r="I5" s="144">
        <v>43435</v>
      </c>
      <c r="J5" s="144">
        <v>43617</v>
      </c>
      <c r="K5" s="144" t="s">
        <v>60</v>
      </c>
      <c r="L5" s="144">
        <v>43983</v>
      </c>
      <c r="M5" s="144" t="s">
        <v>63</v>
      </c>
      <c r="N5" s="144">
        <v>44348</v>
      </c>
      <c r="O5" s="144" t="s">
        <v>65</v>
      </c>
      <c r="P5" s="144">
        <v>44713</v>
      </c>
      <c r="Q5" s="144" t="s">
        <v>67</v>
      </c>
      <c r="R5" s="144">
        <v>45078</v>
      </c>
      <c r="S5" s="144" t="s">
        <v>70</v>
      </c>
      <c r="T5" s="144">
        <v>45444</v>
      </c>
      <c r="U5" s="144" t="s">
        <v>72</v>
      </c>
      <c r="V5" s="144">
        <v>45809</v>
      </c>
    </row>
    <row r="6" spans="1:22" s="29" customFormat="1" ht="15" customHeight="1">
      <c r="A6" s="106"/>
      <c r="B6" s="107"/>
      <c r="C6" s="108"/>
      <c r="D6" s="108"/>
      <c r="E6" s="108"/>
      <c r="F6" s="108"/>
      <c r="G6" s="108"/>
      <c r="H6" s="108"/>
      <c r="I6" s="108"/>
      <c r="J6" s="108"/>
      <c r="K6" s="108"/>
      <c r="L6" s="108"/>
      <c r="M6" s="108"/>
      <c r="O6" s="108"/>
      <c r="Q6" s="108"/>
      <c r="S6" s="108"/>
      <c r="T6" s="108"/>
      <c r="U6" s="108"/>
      <c r="V6" s="108"/>
    </row>
    <row r="7" spans="1:22" ht="24.95" customHeight="1">
      <c r="B7" s="91" t="s">
        <v>37</v>
      </c>
      <c r="C7" s="92"/>
      <c r="D7" s="93"/>
      <c r="E7" s="93"/>
      <c r="F7" s="93"/>
      <c r="G7" s="93"/>
      <c r="H7" s="93"/>
      <c r="I7" s="93"/>
      <c r="J7" s="93"/>
      <c r="K7" s="93"/>
      <c r="L7" s="93"/>
      <c r="M7" s="93"/>
      <c r="N7" s="93"/>
      <c r="O7" s="93"/>
      <c r="P7" s="93"/>
      <c r="Q7" s="93"/>
      <c r="R7" s="93"/>
      <c r="S7" s="93"/>
      <c r="T7" s="93"/>
      <c r="U7" s="93"/>
      <c r="V7" s="93"/>
    </row>
    <row r="8" spans="1:22" ht="24.95" customHeight="1">
      <c r="B8" s="19" t="s">
        <v>43</v>
      </c>
      <c r="C8" s="138">
        <v>4689</v>
      </c>
      <c r="D8" s="20">
        <v>4797</v>
      </c>
      <c r="E8" s="138">
        <v>4850</v>
      </c>
      <c r="F8" s="20">
        <v>5209</v>
      </c>
      <c r="G8" s="138">
        <v>5294</v>
      </c>
      <c r="H8" s="20">
        <v>5636</v>
      </c>
      <c r="I8" s="138">
        <v>5639</v>
      </c>
      <c r="J8" s="21">
        <f>J9+34</f>
        <v>6022</v>
      </c>
      <c r="K8" s="138">
        <v>6199</v>
      </c>
      <c r="L8" s="21">
        <v>6460</v>
      </c>
      <c r="M8" s="138">
        <v>6767</v>
      </c>
      <c r="N8" s="21">
        <f>+N9+11.225</f>
        <v>7085.2250000000004</v>
      </c>
      <c r="O8" s="138">
        <v>7319</v>
      </c>
      <c r="P8" s="21">
        <v>7231</v>
      </c>
      <c r="Q8" s="138">
        <v>7508</v>
      </c>
      <c r="R8" s="21">
        <v>8342</v>
      </c>
      <c r="S8" s="138">
        <v>8400</v>
      </c>
      <c r="T8" s="21">
        <v>8636</v>
      </c>
      <c r="U8" s="138">
        <f>'[1]CM Arkéa - Capital'!U8</f>
        <v>8551.4930000000004</v>
      </c>
      <c r="V8" s="21">
        <v>8835</v>
      </c>
    </row>
    <row r="9" spans="1:22" ht="24.95" customHeight="1">
      <c r="B9" s="22" t="s">
        <v>42</v>
      </c>
      <c r="C9" s="139">
        <v>4689</v>
      </c>
      <c r="D9" s="23">
        <v>4796</v>
      </c>
      <c r="E9" s="139">
        <v>4850</v>
      </c>
      <c r="F9" s="23">
        <v>5196</v>
      </c>
      <c r="G9" s="139">
        <f>G8</f>
        <v>5294</v>
      </c>
      <c r="H9" s="23">
        <v>5590</v>
      </c>
      <c r="I9" s="139">
        <v>5594</v>
      </c>
      <c r="J9" s="24">
        <v>5988</v>
      </c>
      <c r="K9" s="139">
        <v>6164</v>
      </c>
      <c r="L9" s="24">
        <v>6437</v>
      </c>
      <c r="M9" s="139">
        <v>6744</v>
      </c>
      <c r="N9" s="24">
        <v>7074</v>
      </c>
      <c r="O9" s="139">
        <v>7308</v>
      </c>
      <c r="P9" s="24">
        <v>7231</v>
      </c>
      <c r="Q9" s="139">
        <v>7508</v>
      </c>
      <c r="R9" s="24">
        <v>8342</v>
      </c>
      <c r="S9" s="139">
        <v>8400</v>
      </c>
      <c r="T9" s="24">
        <v>8636</v>
      </c>
      <c r="U9" s="139">
        <f>'[1]CM Arkéa - Capital'!U9</f>
        <v>8551.4930000000004</v>
      </c>
      <c r="V9" s="24">
        <v>8835</v>
      </c>
    </row>
    <row r="10" spans="1:22" ht="24.95" customHeight="1">
      <c r="B10" s="22" t="s">
        <v>55</v>
      </c>
      <c r="C10" s="139">
        <v>80</v>
      </c>
      <c r="D10" s="23">
        <v>508</v>
      </c>
      <c r="E10" s="139">
        <v>401</v>
      </c>
      <c r="F10" s="23">
        <v>835</v>
      </c>
      <c r="G10" s="139">
        <v>845</v>
      </c>
      <c r="H10" s="23">
        <v>694</v>
      </c>
      <c r="I10" s="139">
        <v>688</v>
      </c>
      <c r="J10" s="24">
        <v>1506</v>
      </c>
      <c r="K10" s="139">
        <v>1852</v>
      </c>
      <c r="L10" s="24">
        <v>1865</v>
      </c>
      <c r="M10" s="139">
        <v>1877</v>
      </c>
      <c r="N10" s="24">
        <v>1834.4369999999999</v>
      </c>
      <c r="O10" s="139">
        <v>1789</v>
      </c>
      <c r="P10" s="24">
        <v>1706</v>
      </c>
      <c r="Q10" s="139">
        <v>1656</v>
      </c>
      <c r="R10" s="24">
        <f>R11-R8</f>
        <v>1614</v>
      </c>
      <c r="S10" s="139">
        <f>S11-S8</f>
        <v>1566</v>
      </c>
      <c r="T10" s="24">
        <f>T11-T8</f>
        <v>1987</v>
      </c>
      <c r="U10" s="139">
        <f>U11-U8</f>
        <v>1390.5069999999996</v>
      </c>
      <c r="V10" s="24">
        <f t="shared" ref="V10" si="0">V11-V8</f>
        <v>1232</v>
      </c>
    </row>
    <row r="11" spans="1:22" ht="24.95" customHeight="1">
      <c r="B11" s="22" t="s">
        <v>44</v>
      </c>
      <c r="C11" s="139">
        <v>4769</v>
      </c>
      <c r="D11" s="23">
        <v>5304</v>
      </c>
      <c r="E11" s="139">
        <v>5251</v>
      </c>
      <c r="F11" s="23">
        <v>6043</v>
      </c>
      <c r="G11" s="139">
        <v>6139</v>
      </c>
      <c r="H11" s="23">
        <v>6330</v>
      </c>
      <c r="I11" s="139">
        <v>6327</v>
      </c>
      <c r="J11" s="24">
        <v>7528</v>
      </c>
      <c r="K11" s="139">
        <v>8051</v>
      </c>
      <c r="L11" s="24">
        <f>L8+L10</f>
        <v>8325</v>
      </c>
      <c r="M11" s="139">
        <v>8643</v>
      </c>
      <c r="N11" s="24">
        <v>8919</v>
      </c>
      <c r="O11" s="139">
        <v>9108</v>
      </c>
      <c r="P11" s="24">
        <v>8937</v>
      </c>
      <c r="Q11" s="139">
        <v>9164</v>
      </c>
      <c r="R11" s="24">
        <v>9956</v>
      </c>
      <c r="S11" s="139">
        <v>9966</v>
      </c>
      <c r="T11" s="24">
        <v>10623</v>
      </c>
      <c r="U11" s="139">
        <f>'[1]CM Arkéa - Capital'!U11</f>
        <v>9942</v>
      </c>
      <c r="V11" s="24">
        <v>10067</v>
      </c>
    </row>
    <row r="12" spans="1:22" ht="24.95" customHeight="1">
      <c r="B12" s="79" t="s">
        <v>45</v>
      </c>
      <c r="C12" s="140">
        <v>29606.653999999999</v>
      </c>
      <c r="D12" s="97">
        <v>31390.111170339998</v>
      </c>
      <c r="E12" s="140">
        <v>31739.566999999999</v>
      </c>
      <c r="F12" s="97">
        <v>30831.937027880002</v>
      </c>
      <c r="G12" s="140">
        <v>28585.634999999998</v>
      </c>
      <c r="H12" s="97">
        <v>30465.85563473</v>
      </c>
      <c r="I12" s="140">
        <v>32019.694</v>
      </c>
      <c r="J12" s="98">
        <v>34131</v>
      </c>
      <c r="K12" s="140">
        <v>37614</v>
      </c>
      <c r="L12" s="98">
        <v>38383</v>
      </c>
      <c r="M12" s="140">
        <v>40040</v>
      </c>
      <c r="N12" s="98">
        <v>41311</v>
      </c>
      <c r="O12" s="140">
        <v>43077</v>
      </c>
      <c r="P12" s="98">
        <v>43924</v>
      </c>
      <c r="Q12" s="140">
        <v>44545</v>
      </c>
      <c r="R12" s="98">
        <v>48474</v>
      </c>
      <c r="S12" s="140">
        <v>49736</v>
      </c>
      <c r="T12" s="98">
        <v>51555</v>
      </c>
      <c r="U12" s="140">
        <f>'[1]CM Arkéa - Capital'!U12</f>
        <v>50871</v>
      </c>
      <c r="V12" s="98">
        <v>48901</v>
      </c>
    </row>
    <row r="13" spans="1:22" s="29" customFormat="1" ht="15" customHeight="1">
      <c r="B13" s="86"/>
      <c r="C13" s="87"/>
      <c r="D13" s="109"/>
      <c r="E13" s="87"/>
      <c r="F13" s="110"/>
      <c r="G13" s="87"/>
      <c r="H13" s="87"/>
      <c r="I13" s="87"/>
      <c r="J13" s="87"/>
      <c r="K13" s="87"/>
      <c r="L13" s="87"/>
      <c r="M13" s="87"/>
      <c r="N13" s="87"/>
      <c r="O13" s="87"/>
      <c r="P13" s="87"/>
      <c r="Q13" s="87"/>
      <c r="R13" s="87"/>
      <c r="S13" s="87"/>
      <c r="T13" s="87"/>
      <c r="U13" s="87"/>
      <c r="V13" s="87"/>
    </row>
    <row r="14" spans="1:22" ht="24.95" customHeight="1">
      <c r="B14" s="91" t="s">
        <v>74</v>
      </c>
      <c r="C14" s="94"/>
      <c r="D14" s="95"/>
      <c r="E14" s="96"/>
      <c r="F14" s="95"/>
      <c r="G14" s="96"/>
      <c r="H14" s="95"/>
      <c r="I14" s="96"/>
      <c r="J14" s="96"/>
      <c r="K14" s="96"/>
      <c r="L14" s="96"/>
      <c r="M14" s="96"/>
      <c r="N14" s="96"/>
      <c r="O14" s="96"/>
      <c r="P14" s="96"/>
      <c r="Q14" s="96"/>
      <c r="R14" s="96"/>
      <c r="S14" s="96"/>
      <c r="T14" s="96"/>
      <c r="U14" s="96"/>
      <c r="V14" s="96"/>
    </row>
    <row r="15" spans="1:22" ht="24.95" customHeight="1">
      <c r="B15" s="22" t="s">
        <v>38</v>
      </c>
      <c r="C15" s="141">
        <f t="shared" ref="C15:K15" si="1">C9/C12</f>
        <v>0.15837655953962243</v>
      </c>
      <c r="D15" s="26">
        <f t="shared" si="1"/>
        <v>0.15278697083849968</v>
      </c>
      <c r="E15" s="141">
        <f t="shared" si="1"/>
        <v>0.1528061173613364</v>
      </c>
      <c r="F15" s="26">
        <f t="shared" si="1"/>
        <v>0.16852655074189726</v>
      </c>
      <c r="G15" s="141">
        <f t="shared" si="1"/>
        <v>0.18519791496673069</v>
      </c>
      <c r="H15" s="26">
        <f t="shared" si="1"/>
        <v>0.18348409665631046</v>
      </c>
      <c r="I15" s="141">
        <f t="shared" si="1"/>
        <v>0.17470498000386886</v>
      </c>
      <c r="J15" s="26">
        <f t="shared" si="1"/>
        <v>0.17544168058363366</v>
      </c>
      <c r="K15" s="141">
        <f t="shared" si="1"/>
        <v>0.16387515286861276</v>
      </c>
      <c r="L15" s="26">
        <f>L9/L12</f>
        <v>0.16770445249198865</v>
      </c>
      <c r="M15" s="141">
        <v>0.16800000000000001</v>
      </c>
      <c r="N15" s="26">
        <f>N9/N12</f>
        <v>0.17123768487811963</v>
      </c>
      <c r="O15" s="141">
        <v>0.17</v>
      </c>
      <c r="P15" s="26">
        <f t="shared" ref="P15:V15" si="2">P9/P12</f>
        <v>0.16462526181586376</v>
      </c>
      <c r="Q15" s="141">
        <f t="shared" si="2"/>
        <v>0.16854865865978225</v>
      </c>
      <c r="R15" s="26">
        <f t="shared" si="2"/>
        <v>0.17209225564219993</v>
      </c>
      <c r="S15" s="141">
        <f t="shared" si="2"/>
        <v>0.16889174843171947</v>
      </c>
      <c r="T15" s="26">
        <f t="shared" si="2"/>
        <v>0.16751042575889827</v>
      </c>
      <c r="U15" s="141">
        <f t="shared" si="2"/>
        <v>0.16810153132433017</v>
      </c>
      <c r="V15" s="26">
        <f t="shared" si="2"/>
        <v>0.18067115191918365</v>
      </c>
    </row>
    <row r="16" spans="1:22" ht="24.95" customHeight="1">
      <c r="B16" s="22" t="s">
        <v>39</v>
      </c>
      <c r="C16" s="141">
        <f t="shared" ref="C16:K16" si="3">C8/C12</f>
        <v>0.15837655953962243</v>
      </c>
      <c r="D16" s="26">
        <f t="shared" si="3"/>
        <v>0.15281882800506316</v>
      </c>
      <c r="E16" s="141">
        <f t="shared" si="3"/>
        <v>0.1528061173613364</v>
      </c>
      <c r="F16" s="26">
        <f t="shared" si="3"/>
        <v>0.16894819145776421</v>
      </c>
      <c r="G16" s="141">
        <f t="shared" si="3"/>
        <v>0.18519791496673069</v>
      </c>
      <c r="H16" s="26">
        <f t="shared" si="3"/>
        <v>0.18499398367709585</v>
      </c>
      <c r="I16" s="141">
        <f t="shared" si="3"/>
        <v>0.1761103650771928</v>
      </c>
      <c r="J16" s="26">
        <f t="shared" si="3"/>
        <v>0.1764378424306349</v>
      </c>
      <c r="K16" s="141">
        <f t="shared" si="3"/>
        <v>0.16480565746796405</v>
      </c>
      <c r="L16" s="26">
        <f>L8/L12</f>
        <v>0.16830367610660971</v>
      </c>
      <c r="M16" s="141">
        <v>0.16900000000000001</v>
      </c>
      <c r="N16" s="26">
        <f>N8/N12</f>
        <v>0.17150940427489048</v>
      </c>
      <c r="O16" s="141">
        <v>0.16990505374097548</v>
      </c>
      <c r="P16" s="26">
        <f>P8/P12</f>
        <v>0.16462526181586376</v>
      </c>
      <c r="Q16" s="141">
        <f>Q8/Q12</f>
        <v>0.16854865865978225</v>
      </c>
      <c r="R16" s="26">
        <f>R8/R12</f>
        <v>0.17209225564219993</v>
      </c>
      <c r="S16" s="141">
        <f>S8/S12</f>
        <v>0.16889174843171947</v>
      </c>
      <c r="T16" s="26">
        <f t="shared" ref="T16" si="4">T8/T12</f>
        <v>0.16751042575889827</v>
      </c>
      <c r="U16" s="141">
        <f>U8/U12</f>
        <v>0.16810153132433017</v>
      </c>
      <c r="V16" s="26">
        <f t="shared" ref="V16" si="5">V8/V12</f>
        <v>0.18067115191918365</v>
      </c>
    </row>
    <row r="17" spans="2:22" ht="24.95" customHeight="1">
      <c r="B17" s="18" t="s">
        <v>40</v>
      </c>
      <c r="C17" s="142">
        <f t="shared" ref="C17:K17" si="6">C11/C12</f>
        <v>0.16107865481860936</v>
      </c>
      <c r="D17" s="27">
        <f t="shared" si="6"/>
        <v>0.16897041145275277</v>
      </c>
      <c r="E17" s="142">
        <f t="shared" si="6"/>
        <v>0.16544019015760361</v>
      </c>
      <c r="F17" s="27">
        <f t="shared" si="6"/>
        <v>0.19599806507568998</v>
      </c>
      <c r="G17" s="142">
        <f t="shared" si="6"/>
        <v>0.21475821684562896</v>
      </c>
      <c r="H17" s="27">
        <f t="shared" si="6"/>
        <v>0.20777358351242312</v>
      </c>
      <c r="I17" s="142">
        <f t="shared" si="6"/>
        <v>0.19759714130934544</v>
      </c>
      <c r="J17" s="27">
        <f t="shared" si="6"/>
        <v>0.22056195247722013</v>
      </c>
      <c r="K17" s="142">
        <f t="shared" si="6"/>
        <v>0.21404264369649598</v>
      </c>
      <c r="L17" s="27">
        <f>L11/L12</f>
        <v>0.21689289529218664</v>
      </c>
      <c r="M17" s="142">
        <v>0.216</v>
      </c>
      <c r="N17" s="27">
        <f>N11/N12</f>
        <v>0.21589891312241291</v>
      </c>
      <c r="O17" s="142">
        <v>0.211435336722613</v>
      </c>
      <c r="P17" s="27">
        <f>P11/P12</f>
        <v>0.20346507604043348</v>
      </c>
      <c r="Q17" s="142">
        <f>Q11/Q12</f>
        <v>0.20572454820967562</v>
      </c>
      <c r="R17" s="27">
        <f>R11/R12</f>
        <v>0.20538845566695549</v>
      </c>
      <c r="S17" s="142">
        <f>S11/S12</f>
        <v>0.2003779958179186</v>
      </c>
      <c r="T17" s="27">
        <f t="shared" ref="T17" si="7">T11/T12</f>
        <v>0.20605178935117835</v>
      </c>
      <c r="U17" s="142">
        <f>U11/U12</f>
        <v>0.19543551335731557</v>
      </c>
      <c r="V17" s="27">
        <f>V11/V12</f>
        <v>0.20586491073802171</v>
      </c>
    </row>
    <row r="18" spans="2:22" s="29" customFormat="1" ht="15" customHeight="1">
      <c r="B18" s="86"/>
      <c r="C18" s="87"/>
      <c r="D18" s="87"/>
      <c r="E18" s="87"/>
      <c r="F18" s="87"/>
      <c r="G18" s="87"/>
      <c r="H18" s="87"/>
      <c r="I18" s="87"/>
      <c r="J18" s="87"/>
      <c r="K18" s="87"/>
      <c r="L18" s="87"/>
      <c r="M18" s="87"/>
      <c r="N18" s="87"/>
      <c r="O18" s="87"/>
      <c r="P18" s="87"/>
      <c r="Q18" s="87"/>
      <c r="R18" s="87"/>
      <c r="S18" s="87"/>
      <c r="T18" s="87"/>
      <c r="U18" s="87"/>
      <c r="V18" s="87"/>
    </row>
    <row r="19" spans="2:22" ht="24.95" customHeight="1">
      <c r="B19" s="91" t="s">
        <v>73</v>
      </c>
      <c r="C19" s="94"/>
      <c r="D19" s="95"/>
      <c r="E19" s="96"/>
      <c r="F19" s="95"/>
      <c r="G19" s="96"/>
      <c r="H19" s="95"/>
      <c r="I19" s="96"/>
      <c r="J19" s="96"/>
      <c r="K19" s="96"/>
      <c r="L19" s="96"/>
      <c r="M19" s="96"/>
      <c r="N19" s="96"/>
      <c r="O19" s="96"/>
      <c r="P19" s="96"/>
      <c r="Q19" s="96"/>
      <c r="R19" s="96"/>
      <c r="S19" s="96"/>
      <c r="T19" s="96"/>
      <c r="U19" s="96"/>
      <c r="V19" s="96"/>
    </row>
    <row r="20" spans="2:22" ht="24.95" customHeight="1">
      <c r="B20" s="22" t="s">
        <v>41</v>
      </c>
      <c r="C20" s="143">
        <v>6.5000000000000002E-2</v>
      </c>
      <c r="D20" s="25">
        <v>6.7000000000000004E-2</v>
      </c>
      <c r="E20" s="141">
        <v>6.2E-2</v>
      </c>
      <c r="F20" s="25">
        <v>6.5000000000000002E-2</v>
      </c>
      <c r="G20" s="141">
        <v>6.4000000000000001E-2</v>
      </c>
      <c r="H20" s="25">
        <v>6.0999999999999999E-2</v>
      </c>
      <c r="I20" s="141">
        <v>6.3E-2</v>
      </c>
      <c r="J20" s="26">
        <v>6.7000000000000004E-2</v>
      </c>
      <c r="K20" s="141">
        <v>6.3E-2</v>
      </c>
      <c r="L20" s="26">
        <v>5.8999999999999997E-2</v>
      </c>
      <c r="M20" s="141">
        <v>6.8000000000000005E-2</v>
      </c>
      <c r="N20" s="26">
        <v>7.0000000000000007E-2</v>
      </c>
      <c r="O20" s="141">
        <v>7.1999999999999995E-2</v>
      </c>
      <c r="P20" s="26">
        <v>6.3E-2</v>
      </c>
      <c r="Q20" s="141">
        <v>5.8999999999999997E-2</v>
      </c>
      <c r="R20" s="26">
        <v>6.8000000000000005E-2</v>
      </c>
      <c r="S20" s="141">
        <v>6.5000000000000002E-2</v>
      </c>
      <c r="T20" s="26">
        <v>6.8000000000000005E-2</v>
      </c>
      <c r="U20" s="141">
        <f>'[1]CM Arkéa - Capital'!U20</f>
        <v>6.4000000000000001E-2</v>
      </c>
      <c r="V20" s="26">
        <v>6.3E-2</v>
      </c>
    </row>
    <row r="21" spans="2:22" ht="12.75" customHeight="1">
      <c r="B21" s="12"/>
      <c r="C21" s="12"/>
      <c r="D21" s="11"/>
      <c r="E21" s="11"/>
      <c r="F21" s="11"/>
      <c r="G21" s="11"/>
      <c r="H21" s="11"/>
      <c r="I21" s="11"/>
      <c r="J21" s="11"/>
      <c r="K21" s="11"/>
    </row>
    <row r="22" spans="2:22" s="105" customFormat="1">
      <c r="B22" s="196"/>
      <c r="C22" s="196"/>
      <c r="D22" s="196"/>
      <c r="E22" s="196"/>
      <c r="F22" s="196"/>
      <c r="G22" s="196"/>
      <c r="H22" s="196"/>
      <c r="I22" s="196"/>
      <c r="J22" s="196"/>
      <c r="K22" s="196"/>
      <c r="L22" s="196"/>
      <c r="M22" s="196"/>
      <c r="N22" s="196"/>
    </row>
    <row r="23" spans="2:22" ht="12.75" customHeight="1">
      <c r="B23" s="196"/>
      <c r="C23" s="196"/>
      <c r="D23" s="196"/>
      <c r="E23" s="196"/>
      <c r="F23" s="196"/>
      <c r="G23" s="196"/>
      <c r="H23" s="196"/>
      <c r="I23" s="196"/>
      <c r="J23" s="196"/>
    </row>
    <row r="24" spans="2:22" ht="12.75" customHeight="1"/>
    <row r="25" spans="2:22" ht="12.75" customHeight="1"/>
    <row r="26" spans="2:22" ht="12.75" customHeight="1"/>
    <row r="27" spans="2:22" ht="12.75" customHeight="1"/>
    <row r="28" spans="2:22" ht="12.75" customHeight="1"/>
    <row r="29" spans="2:22" ht="12.75" customHeight="1"/>
    <row r="30" spans="2:22" ht="12.75" customHeight="1"/>
    <row r="31" spans="2:22" ht="12.75" customHeight="1"/>
    <row r="32" spans="2:2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3">
    <mergeCell ref="B4:D4"/>
    <mergeCell ref="B23:J23"/>
    <mergeCell ref="B22:N22"/>
  </mergeCells>
  <printOptions horizontalCentered="1" verticalCentered="1"/>
  <pageMargins left="0.23622047244094491" right="0.23622047244094491" top="0.35433070866141736" bottom="0.35433070866141736" header="0.31496062992125984" footer="0.31496062992125984"/>
  <pageSetup paperSize="9"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Disclaimer</vt:lpstr>
      <vt:lpstr>CM Arkéa - Income statement</vt:lpstr>
      <vt:lpstr>CM Arkéa - Balance Sheet</vt:lpstr>
      <vt:lpstr>CM Arkéa - Capital</vt:lpstr>
      <vt:lpstr>'CM Arkéa - Balance Sheet'!Zone_d_impression</vt:lpstr>
      <vt:lpstr>'CM Arkéa - Capital'!Zone_d_impression</vt:lpstr>
      <vt:lpstr>'Intro - Disclaimer'!Zone_d_impression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2021-02-18T20:37:40Z</cp:lastPrinted>
  <dcterms:created xsi:type="dcterms:W3CDTF">2019-07-16T13:32:44Z</dcterms:created>
  <dcterms:modified xsi:type="dcterms:W3CDTF">2025-08-19T07:59:49Z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